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iograpige-my.sharepoint.com/personal/s_sadunishvili_biograpi_ge/Documents/Procurement/Giorgi Chitaladze/ბარე/ბარე არქიტექტურა/"/>
    </mc:Choice>
  </mc:AlternateContent>
  <xr:revisionPtr revIDLastSave="27" documentId="13_ncr:1_{AAF7F8FF-1E0E-45DA-8FB5-73EFB45A4171}" xr6:coauthVersionLast="47" xr6:coauthVersionMax="47" xr10:uidLastSave="{394D1422-7435-4CAB-82E7-04E106FA4A9E}"/>
  <bookViews>
    <workbookView xWindow="28680" yWindow="-120" windowWidth="29040" windowHeight="15720" tabRatio="906" firstSheet="2" activeTab="2" xr2:uid="{00000000-000D-0000-FFFF-FFFF00000000}"/>
  </bookViews>
  <sheets>
    <sheet name="არქიტექტურა  (2)" sheetId="23" state="hidden" r:id="rId1"/>
    <sheet name="ანგ." sheetId="22" state="hidden" r:id="rId2"/>
    <sheet name="კრებსითი" sheetId="63" r:id="rId3"/>
    <sheet name="კედელი" sheetId="52" r:id="rId4"/>
    <sheet name="იატაკი " sheetId="62" r:id="rId5"/>
    <sheet name="ჭერი" sheetId="55" r:id="rId6"/>
    <sheet name="კარები" sheetId="60" r:id="rId7"/>
    <sheet name="კიბეები და მოაჯირები" sheetId="57" r:id="rId8"/>
    <sheet name="მოაჯირები" sheetId="64" r:id="rId9"/>
    <sheet name="ფასადი" sheetId="66" r:id="rId10"/>
  </sheets>
  <definedNames>
    <definedName name="_xlnm._FilterDatabase" localSheetId="0" hidden="1">'არქიტექტურა  (2)'!$A$434:$S$587</definedName>
    <definedName name="_xlnm._FilterDatabase" localSheetId="4" hidden="1">'იატაკი '!$A$8:$O$528</definedName>
    <definedName name="_xlnm._FilterDatabase" localSheetId="3" hidden="1">კედელი!$11:$171</definedName>
    <definedName name="_xlnm._FilterDatabase" localSheetId="8" hidden="1">მოაჯირები!$A$11:$L$60</definedName>
    <definedName name="_xlnm._FilterDatabase" localSheetId="9" hidden="1">ფასადი!$A$12:$L$224</definedName>
    <definedName name="_xlnm._FilterDatabase" localSheetId="5" hidden="1">ჭერი!$11:$77</definedName>
    <definedName name="euro">#REF!</definedName>
    <definedName name="JCB">#REF!</definedName>
    <definedName name="usd">#REF!</definedName>
    <definedName name="ავტოამწე">#REF!</definedName>
    <definedName name="ბობკატი">#REF!</definedName>
    <definedName name="დროებითი">#REF!</definedName>
    <definedName name="დღიურები">#REF!</definedName>
    <definedName name="დღიური">#REF!</definedName>
    <definedName name="მანიტუ">#REF!</definedName>
    <definedName name="ნაგავი">#REF!</definedName>
    <definedName name="პერიოდი">#REF!</definedName>
    <definedName name="ღირებულება">#REF!</definedName>
    <definedName name="ღირებულებადოლარი">#REF!</definedName>
    <definedName name="შესრულება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63" l="1"/>
  <c r="C11" i="63"/>
  <c r="C10" i="63"/>
  <c r="C9" i="63"/>
  <c r="C8" i="63"/>
  <c r="C7" i="63"/>
  <c r="C6" i="63"/>
  <c r="L222" i="66"/>
  <c r="L223" i="66" s="1"/>
  <c r="L224" i="66" s="1"/>
  <c r="L59" i="64"/>
  <c r="L60" i="64" s="1"/>
  <c r="L58" i="64"/>
  <c r="L70" i="57"/>
  <c r="L71" i="57" s="1"/>
  <c r="L72" i="57" s="1"/>
  <c r="N40" i="60"/>
  <c r="N41" i="60" s="1"/>
  <c r="N42" i="60" s="1"/>
  <c r="L75" i="55"/>
  <c r="L76" i="55" s="1"/>
  <c r="L77" i="55" s="1"/>
  <c r="L526" i="62"/>
  <c r="L527" i="62" s="1"/>
  <c r="L528" i="62" s="1"/>
  <c r="L169" i="52"/>
  <c r="L170" i="52"/>
  <c r="L171" i="52" s="1"/>
  <c r="I62" i="57"/>
  <c r="K62" i="57"/>
  <c r="L62" i="57"/>
  <c r="G62" i="57"/>
  <c r="M32" i="60"/>
  <c r="I32" i="60"/>
  <c r="E56" i="62"/>
  <c r="E29" i="62"/>
  <c r="D159" i="52"/>
  <c r="D146" i="52"/>
  <c r="D137" i="52"/>
  <c r="D150" i="52"/>
  <c r="E127" i="52"/>
  <c r="D48" i="52"/>
  <c r="E43" i="55"/>
  <c r="E133" i="66"/>
  <c r="E146" i="66" s="1"/>
  <c r="D137" i="66"/>
  <c r="D144" i="66"/>
  <c r="D210" i="66"/>
  <c r="E188" i="66"/>
  <c r="D192" i="66"/>
  <c r="D193" i="66"/>
  <c r="D194" i="66"/>
  <c r="D199" i="66"/>
  <c r="D201" i="66"/>
  <c r="D204" i="66"/>
  <c r="D207" i="66"/>
  <c r="D213" i="66"/>
  <c r="E200" i="62"/>
  <c r="N3" i="62"/>
  <c r="E20" i="66"/>
  <c r="E27" i="66" s="1"/>
  <c r="E116" i="66"/>
  <c r="E159" i="66"/>
  <c r="E166" i="66"/>
  <c r="D168" i="66"/>
  <c r="D170" i="66"/>
  <c r="D172" i="66"/>
  <c r="D173" i="66"/>
  <c r="E97" i="66"/>
  <c r="D89" i="66"/>
  <c r="D86" i="66"/>
  <c r="D84" i="66"/>
  <c r="E76" i="66"/>
  <c r="D73" i="66"/>
  <c r="D72" i="66"/>
  <c r="D71" i="66"/>
  <c r="E55" i="66"/>
  <c r="E61" i="66" s="1"/>
  <c r="E13" i="62"/>
  <c r="E140" i="66" l="1"/>
  <c r="N32" i="60"/>
  <c r="N33" i="60" s="1"/>
  <c r="N34" i="60" s="1"/>
  <c r="N35" i="60" s="1"/>
  <c r="N36" i="60" s="1"/>
  <c r="N37" i="60" s="1"/>
  <c r="N38" i="60" s="1"/>
  <c r="N39" i="60" s="1"/>
  <c r="M5" i="60" s="1"/>
  <c r="M6" i="60" s="1"/>
  <c r="K32" i="60"/>
  <c r="E175" i="66"/>
  <c r="E122" i="66"/>
  <c r="E82" i="66"/>
  <c r="D16" i="62"/>
  <c r="D48" i="62"/>
  <c r="D45" i="62"/>
  <c r="D43" i="62"/>
  <c r="D294" i="62"/>
  <c r="E42" i="57"/>
  <c r="D33" i="62"/>
  <c r="G49" i="64"/>
  <c r="L49" i="64" s="1"/>
  <c r="D23" i="64"/>
  <c r="D22" i="64"/>
  <c r="D20" i="57"/>
  <c r="E25" i="52"/>
  <c r="E32" i="57"/>
  <c r="D41" i="57"/>
  <c r="D38" i="57"/>
  <c r="D37" i="57"/>
  <c r="D36" i="57"/>
  <c r="D34" i="57"/>
  <c r="D27" i="57"/>
  <c r="D28" i="57"/>
  <c r="D31" i="57"/>
  <c r="D26" i="57"/>
  <c r="D24" i="57"/>
  <c r="E501" i="62"/>
  <c r="E486" i="62"/>
  <c r="D50" i="52"/>
  <c r="D49" i="52"/>
  <c r="D47" i="52"/>
  <c r="D45" i="52"/>
  <c r="D132" i="52"/>
  <c r="D131" i="52"/>
  <c r="D212" i="62"/>
  <c r="D211" i="62"/>
  <c r="D171" i="62"/>
  <c r="D170" i="62"/>
  <c r="D169" i="62"/>
  <c r="D103" i="62"/>
  <c r="D26" i="62"/>
  <c r="D25" i="62"/>
  <c r="E32" i="55"/>
  <c r="E38" i="55" s="1"/>
  <c r="D23" i="52"/>
  <c r="D22" i="52"/>
  <c r="D21" i="52"/>
  <c r="D20" i="52"/>
  <c r="D18" i="52"/>
  <c r="D490" i="62"/>
  <c r="D492" i="62"/>
  <c r="D491" i="62"/>
  <c r="D354" i="62"/>
  <c r="D353" i="62"/>
  <c r="D409" i="62"/>
  <c r="D411" i="62"/>
  <c r="D410" i="62"/>
  <c r="D352" i="62"/>
  <c r="D302" i="62"/>
  <c r="D301" i="62"/>
  <c r="D300" i="62"/>
  <c r="D278" i="62"/>
  <c r="D277" i="62"/>
  <c r="D276" i="62"/>
  <c r="D267" i="62"/>
  <c r="D266" i="62"/>
  <c r="D265" i="62"/>
  <c r="D210" i="62"/>
  <c r="D133" i="62"/>
  <c r="D105" i="62"/>
  <c r="D104" i="62"/>
  <c r="D67" i="62"/>
  <c r="D135" i="62"/>
  <c r="D134" i="62"/>
  <c r="D69" i="62"/>
  <c r="D68" i="62"/>
  <c r="D24" i="62"/>
  <c r="D324" i="62"/>
  <c r="D325" i="62"/>
  <c r="D326" i="62"/>
  <c r="D323" i="62"/>
  <c r="D454" i="62"/>
  <c r="D478" i="62"/>
  <c r="D475" i="62"/>
  <c r="D473" i="62"/>
  <c r="D460" i="62"/>
  <c r="D458" i="62"/>
  <c r="E435" i="62"/>
  <c r="D403" i="62"/>
  <c r="E414" i="62"/>
  <c r="E378" i="62"/>
  <c r="E384" i="62" s="1"/>
  <c r="E390" i="62" s="1"/>
  <c r="E396" i="62" s="1"/>
  <c r="E400" i="62" s="1"/>
  <c r="E357" i="62"/>
  <c r="E363" i="62" s="1"/>
  <c r="E305" i="62"/>
  <c r="E311" i="62" s="1"/>
  <c r="E281" i="62"/>
  <c r="E287" i="62" s="1"/>
  <c r="D259" i="62"/>
  <c r="E237" i="62"/>
  <c r="E243" i="62" s="1"/>
  <c r="E249" i="62" s="1"/>
  <c r="D229" i="62"/>
  <c r="D226" i="62"/>
  <c r="D224" i="62"/>
  <c r="E206" i="62"/>
  <c r="E215" i="62" s="1"/>
  <c r="D219" i="62" s="1"/>
  <c r="D198" i="62"/>
  <c r="E188" i="62"/>
  <c r="E138" i="62"/>
  <c r="E123" i="62"/>
  <c r="E99" i="62"/>
  <c r="E93" i="62"/>
  <c r="D517" i="62"/>
  <c r="D516" i="62"/>
  <c r="D514" i="62"/>
  <c r="D512" i="62"/>
  <c r="D508" i="62"/>
  <c r="D505" i="62"/>
  <c r="D503" i="62"/>
  <c r="D427" i="62"/>
  <c r="D424" i="62"/>
  <c r="D422" i="62"/>
  <c r="D370" i="62"/>
  <c r="D367" i="62"/>
  <c r="D365" i="62"/>
  <c r="D318" i="62"/>
  <c r="D315" i="62"/>
  <c r="D313" i="62"/>
  <c r="E291" i="62"/>
  <c r="D151" i="62"/>
  <c r="D148" i="62"/>
  <c r="D146" i="62"/>
  <c r="E144" i="62"/>
  <c r="D115" i="62"/>
  <c r="D112" i="62"/>
  <c r="D110" i="62"/>
  <c r="D85" i="62"/>
  <c r="D82" i="62"/>
  <c r="D80" i="62"/>
  <c r="E197" i="66" l="1"/>
  <c r="E205" i="66" s="1"/>
  <c r="E182" i="66"/>
  <c r="E495" i="62"/>
  <c r="E221" i="62"/>
  <c r="E441" i="62"/>
  <c r="E447" i="62" s="1"/>
  <c r="E108" i="62"/>
  <c r="E261" i="62"/>
  <c r="E256" i="62"/>
  <c r="E335" i="62"/>
  <c r="E341" i="62"/>
  <c r="K161" i="52" l="1"/>
  <c r="I50" i="64"/>
  <c r="K50" i="64"/>
  <c r="E35" i="62"/>
  <c r="E41" i="62" s="1"/>
  <c r="G50" i="64"/>
  <c r="E270" i="62"/>
  <c r="I67" i="55" l="1"/>
  <c r="G214" i="66"/>
  <c r="K214" i="66"/>
  <c r="L214" i="66"/>
  <c r="L215" i="66" s="1"/>
  <c r="L216" i="66" s="1"/>
  <c r="L217" i="66" s="1"/>
  <c r="L218" i="66" s="1"/>
  <c r="L219" i="66" s="1"/>
  <c r="L220" i="66" s="1"/>
  <c r="L221" i="66" s="1"/>
  <c r="I214" i="66"/>
  <c r="G67" i="55"/>
  <c r="L67" i="55"/>
  <c r="K67" i="55"/>
  <c r="G161" i="52"/>
  <c r="L50" i="64"/>
  <c r="L51" i="64" s="1"/>
  <c r="L52" i="64" s="1"/>
  <c r="L53" i="64" s="1"/>
  <c r="L54" i="64" s="1"/>
  <c r="L55" i="64" s="1"/>
  <c r="L56" i="64" s="1"/>
  <c r="L57" i="64" s="1"/>
  <c r="L63" i="57"/>
  <c r="L64" i="57" s="1"/>
  <c r="L65" i="57" s="1"/>
  <c r="L66" i="57" s="1"/>
  <c r="L67" i="57" s="1"/>
  <c r="L68" i="57" s="1"/>
  <c r="L69" i="57" s="1"/>
  <c r="D10" i="63" s="1"/>
  <c r="D9" i="63"/>
  <c r="E165" i="62"/>
  <c r="E159" i="62"/>
  <c r="E180" i="62"/>
  <c r="I180" i="62" s="1"/>
  <c r="E222" i="62"/>
  <c r="D12" i="63" l="1"/>
  <c r="I161" i="52"/>
  <c r="L161" i="52"/>
  <c r="L162" i="52" s="1"/>
  <c r="L163" i="52" s="1"/>
  <c r="L164" i="52" s="1"/>
  <c r="L165" i="52" s="1"/>
  <c r="L166" i="52" s="1"/>
  <c r="L167" i="52" s="1"/>
  <c r="L168" i="52" s="1"/>
  <c r="K5" i="64"/>
  <c r="K6" i="64" s="1"/>
  <c r="D11" i="63"/>
  <c r="K5" i="57"/>
  <c r="K6" i="57" s="1"/>
  <c r="E174" i="62"/>
  <c r="E451" i="62"/>
  <c r="E465" i="62"/>
  <c r="I270" i="62"/>
  <c r="G270" i="62"/>
  <c r="K270" i="62"/>
  <c r="G221" i="62"/>
  <c r="I221" i="62"/>
  <c r="K221" i="62"/>
  <c r="E456" i="62" l="1"/>
  <c r="E471" i="62"/>
  <c r="G180" i="62"/>
  <c r="K180" i="62"/>
  <c r="L221" i="62"/>
  <c r="L270" i="62"/>
  <c r="K5" i="52" l="1"/>
  <c r="K6" i="52" s="1"/>
  <c r="E63" i="62"/>
  <c r="E72" i="62" s="1"/>
  <c r="L180" i="62"/>
  <c r="D6" i="63" l="1"/>
  <c r="E78" i="62"/>
  <c r="H687" i="23"/>
  <c r="I687" i="23" s="1"/>
  <c r="G687" i="23"/>
  <c r="G689" i="23" s="1"/>
  <c r="L690" i="23" s="1"/>
  <c r="C700" i="23"/>
  <c r="C698" i="23"/>
  <c r="C696" i="23"/>
  <c r="C694" i="23"/>
  <c r="K689" i="23"/>
  <c r="H667" i="23"/>
  <c r="I667" i="23" s="1"/>
  <c r="F667" i="23"/>
  <c r="G667" i="23" s="1"/>
  <c r="H666" i="23"/>
  <c r="I666" i="23" s="1"/>
  <c r="F666" i="23"/>
  <c r="G666" i="23" s="1"/>
  <c r="G669" i="23" s="1"/>
  <c r="C680" i="23"/>
  <c r="C678" i="23"/>
  <c r="C676" i="23"/>
  <c r="C674" i="23"/>
  <c r="C586" i="23"/>
  <c r="C584" i="23"/>
  <c r="C582" i="23"/>
  <c r="C580" i="23"/>
  <c r="C619" i="23"/>
  <c r="C617" i="23"/>
  <c r="C615" i="23"/>
  <c r="C613" i="23"/>
  <c r="C652" i="23"/>
  <c r="C650" i="23"/>
  <c r="C648" i="23"/>
  <c r="C646" i="23"/>
  <c r="K669" i="23"/>
  <c r="F640" i="23"/>
  <c r="F639" i="23"/>
  <c r="F638" i="23"/>
  <c r="F637" i="23"/>
  <c r="F636" i="23"/>
  <c r="F635" i="23"/>
  <c r="F634" i="23"/>
  <c r="F633" i="23"/>
  <c r="F632" i="23"/>
  <c r="F631" i="23"/>
  <c r="F630" i="23"/>
  <c r="F629" i="23"/>
  <c r="F628" i="23"/>
  <c r="F627" i="23"/>
  <c r="F625" i="23"/>
  <c r="L624" i="23"/>
  <c r="H623" i="23"/>
  <c r="K641" i="23"/>
  <c r="I641" i="23"/>
  <c r="L605" i="23"/>
  <c r="E603" i="23"/>
  <c r="E604" i="23" s="1"/>
  <c r="L601" i="23"/>
  <c r="H600" i="23"/>
  <c r="H604" i="23" s="1"/>
  <c r="I604" i="23" s="1"/>
  <c r="L604" i="23" s="1"/>
  <c r="E599" i="23"/>
  <c r="E602" i="23" s="1"/>
  <c r="G602" i="23" s="1"/>
  <c r="K608" i="23"/>
  <c r="H574" i="23"/>
  <c r="I574" i="23" s="1"/>
  <c r="G574" i="23"/>
  <c r="H573" i="23"/>
  <c r="I573" i="23" s="1"/>
  <c r="F573" i="23"/>
  <c r="G573" i="23" s="1"/>
  <c r="H572" i="23"/>
  <c r="I572" i="23" s="1"/>
  <c r="F572" i="23"/>
  <c r="G572" i="23" s="1"/>
  <c r="F570" i="23"/>
  <c r="L569" i="23"/>
  <c r="H568" i="23"/>
  <c r="F566" i="23"/>
  <c r="L565" i="23"/>
  <c r="H564" i="23"/>
  <c r="F562" i="23"/>
  <c r="D562" i="23"/>
  <c r="L561" i="23"/>
  <c r="H560" i="23"/>
  <c r="F558" i="23"/>
  <c r="F557" i="23"/>
  <c r="F556" i="23"/>
  <c r="L555" i="23"/>
  <c r="H553" i="23"/>
  <c r="F550" i="23"/>
  <c r="F549" i="23"/>
  <c r="L548" i="23"/>
  <c r="H546" i="23"/>
  <c r="F544" i="23"/>
  <c r="L543" i="23"/>
  <c r="H542" i="23"/>
  <c r="F539" i="23"/>
  <c r="L538" i="23"/>
  <c r="H536" i="23"/>
  <c r="A535" i="23"/>
  <c r="A541" i="23" s="1"/>
  <c r="A545" i="23" s="1"/>
  <c r="A552" i="23" s="1"/>
  <c r="A559" i="23" s="1"/>
  <c r="A563" i="23" s="1"/>
  <c r="A567" i="23" s="1"/>
  <c r="F533" i="23"/>
  <c r="L532" i="23"/>
  <c r="H530" i="23"/>
  <c r="E529" i="23"/>
  <c r="E530" i="23" s="1"/>
  <c r="E527" i="23"/>
  <c r="G527" i="23" s="1"/>
  <c r="L527" i="23" s="1"/>
  <c r="F526" i="23"/>
  <c r="E526" i="23"/>
  <c r="L525" i="23"/>
  <c r="E524" i="23"/>
  <c r="K524" i="23" s="1"/>
  <c r="L524" i="23" s="1"/>
  <c r="H523" i="23"/>
  <c r="E523" i="23"/>
  <c r="E521" i="23"/>
  <c r="G521" i="23" s="1"/>
  <c r="L521" i="23" s="1"/>
  <c r="F520" i="23"/>
  <c r="E520" i="23"/>
  <c r="L519" i="23"/>
  <c r="E518" i="23"/>
  <c r="K518" i="23" s="1"/>
  <c r="L518" i="23" s="1"/>
  <c r="H517" i="23"/>
  <c r="E517" i="23"/>
  <c r="A516" i="23"/>
  <c r="A522" i="23" s="1"/>
  <c r="F514" i="23"/>
  <c r="L513" i="23"/>
  <c r="H511" i="23"/>
  <c r="E510" i="23"/>
  <c r="E514" i="23" s="1"/>
  <c r="F508" i="23"/>
  <c r="F507" i="23"/>
  <c r="L506" i="23"/>
  <c r="H504" i="23"/>
  <c r="E503" i="23"/>
  <c r="E509" i="23" s="1"/>
  <c r="G509" i="23" s="1"/>
  <c r="L509" i="23" s="1"/>
  <c r="H501" i="23"/>
  <c r="I501" i="23" s="1"/>
  <c r="F501" i="23"/>
  <c r="G501" i="23" s="1"/>
  <c r="H500" i="23"/>
  <c r="I500" i="23" s="1"/>
  <c r="F500" i="23"/>
  <c r="G500" i="23" s="1"/>
  <c r="L498" i="23"/>
  <c r="H497" i="23"/>
  <c r="E496" i="23"/>
  <c r="E497" i="23" s="1"/>
  <c r="H495" i="23"/>
  <c r="F495" i="23"/>
  <c r="E495" i="23"/>
  <c r="L493" i="23"/>
  <c r="H492" i="23"/>
  <c r="E491" i="23"/>
  <c r="E494" i="23" s="1"/>
  <c r="G494" i="23" s="1"/>
  <c r="L494" i="23" s="1"/>
  <c r="L489" i="23"/>
  <c r="H488" i="23"/>
  <c r="E487" i="23"/>
  <c r="E488" i="23" s="1"/>
  <c r="E486" i="23"/>
  <c r="G486" i="23" s="1"/>
  <c r="L486" i="23" s="1"/>
  <c r="E485" i="23"/>
  <c r="G485" i="23" s="1"/>
  <c r="L485" i="23" s="1"/>
  <c r="L484" i="23"/>
  <c r="D483" i="23"/>
  <c r="E483" i="23" s="1"/>
  <c r="K483" i="23" s="1"/>
  <c r="L483" i="23" s="1"/>
  <c r="H482" i="23"/>
  <c r="E482" i="23"/>
  <c r="L478" i="23"/>
  <c r="D477" i="23"/>
  <c r="H476" i="23"/>
  <c r="E475" i="23"/>
  <c r="E480" i="23" s="1"/>
  <c r="G480" i="23" s="1"/>
  <c r="L480" i="23" s="1"/>
  <c r="L473" i="23"/>
  <c r="E471" i="23"/>
  <c r="E472" i="23" s="1"/>
  <c r="L469" i="23"/>
  <c r="H468" i="23"/>
  <c r="H472" i="23" s="1"/>
  <c r="E467" i="23"/>
  <c r="E470" i="23" s="1"/>
  <c r="G470" i="23" s="1"/>
  <c r="L470" i="23" s="1"/>
  <c r="L458" i="23"/>
  <c r="H457" i="23"/>
  <c r="E456" i="23"/>
  <c r="E461" i="23" s="1"/>
  <c r="G461" i="23" s="1"/>
  <c r="L461" i="23" s="1"/>
  <c r="F455" i="23"/>
  <c r="F454" i="23"/>
  <c r="F453" i="23"/>
  <c r="F452" i="23"/>
  <c r="F451" i="23"/>
  <c r="F450" i="23"/>
  <c r="F449" i="23"/>
  <c r="F448" i="23"/>
  <c r="F447" i="23"/>
  <c r="F446" i="23"/>
  <c r="F445" i="23"/>
  <c r="F444" i="23"/>
  <c r="F443" i="23"/>
  <c r="F442" i="23"/>
  <c r="F440" i="23"/>
  <c r="L439" i="23"/>
  <c r="H438" i="23"/>
  <c r="L434" i="23"/>
  <c r="H432" i="23"/>
  <c r="E429" i="23"/>
  <c r="G429" i="23" s="1"/>
  <c r="L429" i="23" s="1"/>
  <c r="L428" i="23"/>
  <c r="H427" i="23"/>
  <c r="E427" i="23"/>
  <c r="A426" i="23"/>
  <c r="E425" i="23"/>
  <c r="G425" i="23" s="1"/>
  <c r="L425" i="23" s="1"/>
  <c r="L424" i="23"/>
  <c r="H423" i="23"/>
  <c r="E423" i="23"/>
  <c r="F421" i="23"/>
  <c r="L420" i="23"/>
  <c r="H419" i="23"/>
  <c r="E418" i="23"/>
  <c r="F417" i="23"/>
  <c r="L416" i="23"/>
  <c r="H415" i="23"/>
  <c r="E414" i="23"/>
  <c r="E415" i="23" s="1"/>
  <c r="L405" i="23"/>
  <c r="H404" i="23"/>
  <c r="E403" i="23"/>
  <c r="F402" i="23"/>
  <c r="F401" i="23"/>
  <c r="D401" i="23"/>
  <c r="F400" i="23"/>
  <c r="D400" i="23"/>
  <c r="F399" i="23"/>
  <c r="D399" i="23"/>
  <c r="D398" i="23"/>
  <c r="L397" i="23"/>
  <c r="J396" i="23"/>
  <c r="D396" i="23"/>
  <c r="H395" i="23"/>
  <c r="E394" i="23"/>
  <c r="E402" i="23" s="1"/>
  <c r="F393" i="23"/>
  <c r="F392" i="23"/>
  <c r="D392" i="23"/>
  <c r="F391" i="23"/>
  <c r="D391" i="23"/>
  <c r="F390" i="23"/>
  <c r="D390" i="23"/>
  <c r="D389" i="23"/>
  <c r="L388" i="23"/>
  <c r="J387" i="23"/>
  <c r="D387" i="23"/>
  <c r="H386" i="23"/>
  <c r="E385" i="23"/>
  <c r="E384" i="23"/>
  <c r="G384" i="23" s="1"/>
  <c r="L384" i="23" s="1"/>
  <c r="L383" i="23"/>
  <c r="H382" i="23"/>
  <c r="E382" i="23"/>
  <c r="F380" i="23"/>
  <c r="F379" i="23"/>
  <c r="F378" i="23"/>
  <c r="F377" i="23"/>
  <c r="E377" i="23"/>
  <c r="G377" i="23" s="1"/>
  <c r="L377" i="23" s="1"/>
  <c r="F376" i="23"/>
  <c r="F375" i="23"/>
  <c r="F374" i="23"/>
  <c r="F373" i="23"/>
  <c r="F372" i="23"/>
  <c r="F371" i="23"/>
  <c r="F370" i="23"/>
  <c r="L369" i="23"/>
  <c r="H368" i="23"/>
  <c r="E367" i="23"/>
  <c r="E373" i="23" s="1"/>
  <c r="D366" i="23"/>
  <c r="E366" i="23" s="1"/>
  <c r="G366" i="23" s="1"/>
  <c r="L366" i="23" s="1"/>
  <c r="F365" i="23"/>
  <c r="D365" i="23"/>
  <c r="E365" i="23" s="1"/>
  <c r="F364" i="23"/>
  <c r="D364" i="23"/>
  <c r="E364" i="23" s="1"/>
  <c r="G364" i="23" s="1"/>
  <c r="L364" i="23" s="1"/>
  <c r="D363" i="23"/>
  <c r="E363" i="23" s="1"/>
  <c r="L362" i="23"/>
  <c r="D361" i="23"/>
  <c r="E361" i="23" s="1"/>
  <c r="K361" i="23" s="1"/>
  <c r="L361" i="23" s="1"/>
  <c r="H360" i="23"/>
  <c r="E360" i="23"/>
  <c r="D358" i="23"/>
  <c r="F357" i="23"/>
  <c r="F356" i="23"/>
  <c r="D355" i="23"/>
  <c r="L354" i="23"/>
  <c r="D353" i="23"/>
  <c r="H352" i="23"/>
  <c r="D350" i="23"/>
  <c r="F349" i="23"/>
  <c r="F348" i="23"/>
  <c r="F347" i="23"/>
  <c r="F355" i="23" s="1"/>
  <c r="F363" i="23" s="1"/>
  <c r="D347" i="23"/>
  <c r="L346" i="23"/>
  <c r="D345" i="23"/>
  <c r="H344" i="23"/>
  <c r="F341" i="23"/>
  <c r="L340" i="23"/>
  <c r="H338" i="23"/>
  <c r="E337" i="23"/>
  <c r="F335" i="23"/>
  <c r="L334" i="23"/>
  <c r="H332" i="23"/>
  <c r="F329" i="23"/>
  <c r="L328" i="23"/>
  <c r="H326" i="23"/>
  <c r="E325" i="23"/>
  <c r="E327" i="23" s="1"/>
  <c r="K327" i="23" s="1"/>
  <c r="L327" i="23" s="1"/>
  <c r="A325" i="23"/>
  <c r="A331" i="23" s="1"/>
  <c r="A337" i="23" s="1"/>
  <c r="A343" i="23" s="1"/>
  <c r="A351" i="23" s="1"/>
  <c r="A359" i="23" s="1"/>
  <c r="A367" i="23" s="1"/>
  <c r="A381" i="23" s="1"/>
  <c r="A385" i="23" s="1"/>
  <c r="A394" i="23" s="1"/>
  <c r="A403" i="23" s="1"/>
  <c r="A414" i="23" s="1"/>
  <c r="A418" i="23" s="1"/>
  <c r="F323" i="23"/>
  <c r="D323" i="23"/>
  <c r="L322" i="23"/>
  <c r="H320" i="23"/>
  <c r="E319" i="23"/>
  <c r="E321" i="23" s="1"/>
  <c r="K321" i="23" s="1"/>
  <c r="L321" i="23" s="1"/>
  <c r="F317" i="23"/>
  <c r="L316" i="23"/>
  <c r="H314" i="23"/>
  <c r="E313" i="23"/>
  <c r="E314" i="23" s="1"/>
  <c r="F312" i="23"/>
  <c r="D312" i="23"/>
  <c r="L311" i="23"/>
  <c r="H310" i="23"/>
  <c r="E309" i="23"/>
  <c r="E310" i="23" s="1"/>
  <c r="E307" i="23"/>
  <c r="L306" i="23"/>
  <c r="H305" i="23"/>
  <c r="E305" i="23"/>
  <c r="A304" i="23"/>
  <c r="F303" i="23"/>
  <c r="L302" i="23"/>
  <c r="H301" i="23"/>
  <c r="E300" i="23"/>
  <c r="E303" i="23" s="1"/>
  <c r="F299" i="23"/>
  <c r="L298" i="23"/>
  <c r="H297" i="23"/>
  <c r="E296" i="23"/>
  <c r="E299" i="23" s="1"/>
  <c r="F295" i="23"/>
  <c r="L294" i="23"/>
  <c r="H293" i="23"/>
  <c r="E292" i="23"/>
  <c r="E293" i="23" s="1"/>
  <c r="L283" i="23"/>
  <c r="H282" i="23"/>
  <c r="E281" i="23"/>
  <c r="E286" i="23" s="1"/>
  <c r="G286" i="23" s="1"/>
  <c r="L286" i="23" s="1"/>
  <c r="F280" i="23"/>
  <c r="F279" i="23"/>
  <c r="D279" i="23"/>
  <c r="F278" i="23"/>
  <c r="D278" i="23"/>
  <c r="F277" i="23"/>
  <c r="D277" i="23"/>
  <c r="D276" i="23"/>
  <c r="L275" i="23"/>
  <c r="J274" i="23"/>
  <c r="D274" i="23"/>
  <c r="H273" i="23"/>
  <c r="E272" i="23"/>
  <c r="E280" i="23" s="1"/>
  <c r="A272" i="23"/>
  <c r="A281" i="23" s="1"/>
  <c r="A292" i="23" s="1"/>
  <c r="A296" i="23" s="1"/>
  <c r="F271" i="23"/>
  <c r="E271" i="23"/>
  <c r="G271" i="23" s="1"/>
  <c r="L271" i="23" s="1"/>
  <c r="F270" i="23"/>
  <c r="D270" i="23"/>
  <c r="E270" i="23" s="1"/>
  <c r="G270" i="23" s="1"/>
  <c r="L270" i="23" s="1"/>
  <c r="F269" i="23"/>
  <c r="D269" i="23"/>
  <c r="F268" i="23"/>
  <c r="D268" i="23"/>
  <c r="D267" i="23"/>
  <c r="L266" i="23"/>
  <c r="J265" i="23"/>
  <c r="D265" i="23"/>
  <c r="H264" i="23"/>
  <c r="E263" i="23"/>
  <c r="E264" i="23" s="1"/>
  <c r="I264" i="23" s="1"/>
  <c r="L264" i="23" s="1"/>
  <c r="L261" i="23"/>
  <c r="H260" i="23"/>
  <c r="F258" i="23"/>
  <c r="E258" i="23"/>
  <c r="F257" i="23"/>
  <c r="E257" i="23"/>
  <c r="G257" i="23" s="1"/>
  <c r="L257" i="23" s="1"/>
  <c r="F256" i="23"/>
  <c r="E256" i="23"/>
  <c r="G256" i="23" s="1"/>
  <c r="L256" i="23" s="1"/>
  <c r="F255" i="23"/>
  <c r="E255" i="23"/>
  <c r="F254" i="23"/>
  <c r="E254" i="23"/>
  <c r="F253" i="23"/>
  <c r="E253" i="23"/>
  <c r="F252" i="23"/>
  <c r="E252" i="23"/>
  <c r="F251" i="23"/>
  <c r="E251" i="23"/>
  <c r="F250" i="23"/>
  <c r="E250" i="23"/>
  <c r="F249" i="23"/>
  <c r="E249" i="23"/>
  <c r="F248" i="23"/>
  <c r="E248" i="23"/>
  <c r="L247" i="23"/>
  <c r="H246" i="23"/>
  <c r="E246" i="23"/>
  <c r="I246" i="23" s="1"/>
  <c r="L246" i="23" s="1"/>
  <c r="F244" i="23"/>
  <c r="E244" i="23"/>
  <c r="F243" i="23"/>
  <c r="E243" i="23"/>
  <c r="F242" i="23"/>
  <c r="E242" i="23"/>
  <c r="F241" i="23"/>
  <c r="E241" i="23"/>
  <c r="F240" i="23"/>
  <c r="E240" i="23"/>
  <c r="F239" i="23"/>
  <c r="E239" i="23"/>
  <c r="F238" i="23"/>
  <c r="E238" i="23"/>
  <c r="F237" i="23"/>
  <c r="E237" i="23"/>
  <c r="G237" i="23" s="1"/>
  <c r="L237" i="23" s="1"/>
  <c r="F236" i="23"/>
  <c r="E236" i="23"/>
  <c r="F235" i="23"/>
  <c r="E235" i="23"/>
  <c r="F234" i="23"/>
  <c r="E234" i="23"/>
  <c r="L233" i="23"/>
  <c r="H232" i="23"/>
  <c r="E232" i="23"/>
  <c r="I232" i="23" s="1"/>
  <c r="L232" i="23" s="1"/>
  <c r="D230" i="23"/>
  <c r="F229" i="23"/>
  <c r="D229" i="23"/>
  <c r="F228" i="23"/>
  <c r="D228" i="23"/>
  <c r="D227" i="23"/>
  <c r="L226" i="23"/>
  <c r="D225" i="23"/>
  <c r="H224" i="23"/>
  <c r="D222" i="23"/>
  <c r="F221" i="23"/>
  <c r="F220" i="23"/>
  <c r="D219" i="23"/>
  <c r="L218" i="23"/>
  <c r="D217" i="23"/>
  <c r="H216" i="23"/>
  <c r="E215" i="23"/>
  <c r="E220" i="23" s="1"/>
  <c r="G220" i="23" s="1"/>
  <c r="L220" i="23" s="1"/>
  <c r="D214" i="23"/>
  <c r="F213" i="23"/>
  <c r="F212" i="23"/>
  <c r="F211" i="23"/>
  <c r="D211" i="23"/>
  <c r="L210" i="23"/>
  <c r="D209" i="23"/>
  <c r="H208" i="23"/>
  <c r="E206" i="23"/>
  <c r="G206" i="23" s="1"/>
  <c r="L206" i="23" s="1"/>
  <c r="F205" i="23"/>
  <c r="E205" i="23"/>
  <c r="L204" i="23"/>
  <c r="E203" i="23"/>
  <c r="K203" i="23" s="1"/>
  <c r="L203" i="23" s="1"/>
  <c r="H202" i="23"/>
  <c r="E202" i="23"/>
  <c r="F199" i="23"/>
  <c r="L198" i="23"/>
  <c r="H196" i="23"/>
  <c r="E195" i="23"/>
  <c r="E197" i="23" s="1"/>
  <c r="K197" i="23" s="1"/>
  <c r="L197" i="23" s="1"/>
  <c r="F193" i="23"/>
  <c r="L192" i="23"/>
  <c r="H190" i="23"/>
  <c r="E189" i="23"/>
  <c r="F187" i="23"/>
  <c r="D187" i="23"/>
  <c r="L186" i="23"/>
  <c r="H184" i="23"/>
  <c r="E183" i="23"/>
  <c r="E185" i="23" s="1"/>
  <c r="K185" i="23" s="1"/>
  <c r="L185" i="23" s="1"/>
  <c r="F181" i="23"/>
  <c r="L180" i="23"/>
  <c r="H178" i="23"/>
  <c r="E177" i="23"/>
  <c r="E179" i="23" s="1"/>
  <c r="K179" i="23" s="1"/>
  <c r="L179" i="23" s="1"/>
  <c r="A177" i="23"/>
  <c r="A183" i="23" s="1"/>
  <c r="A189" i="23" s="1"/>
  <c r="A195" i="23" s="1"/>
  <c r="A201" i="23" s="1"/>
  <c r="A207" i="23" s="1"/>
  <c r="A215" i="23" s="1"/>
  <c r="A223" i="23" s="1"/>
  <c r="A231" i="23" s="1"/>
  <c r="F176" i="23"/>
  <c r="D176" i="23"/>
  <c r="E176" i="23" s="1"/>
  <c r="G176" i="23" s="1"/>
  <c r="L176" i="23" s="1"/>
  <c r="L175" i="23"/>
  <c r="H174" i="23"/>
  <c r="E174" i="23"/>
  <c r="D171" i="23"/>
  <c r="F170" i="23"/>
  <c r="D170" i="23"/>
  <c r="F169" i="23"/>
  <c r="D169" i="23"/>
  <c r="D168" i="23"/>
  <c r="L167" i="23"/>
  <c r="D166" i="23"/>
  <c r="H165" i="23"/>
  <c r="E164" i="23"/>
  <c r="E165" i="23" s="1"/>
  <c r="D163" i="23"/>
  <c r="E163" i="23" s="1"/>
  <c r="G163" i="23" s="1"/>
  <c r="L163" i="23" s="1"/>
  <c r="F162" i="23"/>
  <c r="E162" i="23"/>
  <c r="F161" i="23"/>
  <c r="E161" i="23"/>
  <c r="F160" i="23"/>
  <c r="D160" i="23"/>
  <c r="E160" i="23" s="1"/>
  <c r="L159" i="23"/>
  <c r="D158" i="23"/>
  <c r="E158" i="23" s="1"/>
  <c r="K158" i="23" s="1"/>
  <c r="L158" i="23" s="1"/>
  <c r="H157" i="23"/>
  <c r="E157" i="23"/>
  <c r="L147" i="23"/>
  <c r="H146" i="23"/>
  <c r="A145" i="23"/>
  <c r="F144" i="23"/>
  <c r="F143" i="23"/>
  <c r="D143" i="23"/>
  <c r="F142" i="23"/>
  <c r="D142" i="23"/>
  <c r="F141" i="23"/>
  <c r="D141" i="23"/>
  <c r="D140" i="23"/>
  <c r="L139" i="23"/>
  <c r="J138" i="23"/>
  <c r="D138" i="23"/>
  <c r="H137" i="23"/>
  <c r="E136" i="23"/>
  <c r="E137" i="23" s="1"/>
  <c r="I137" i="23" s="1"/>
  <c r="L137" i="23" s="1"/>
  <c r="D135" i="23"/>
  <c r="F134" i="23"/>
  <c r="D134" i="23"/>
  <c r="F133" i="23"/>
  <c r="D133" i="23"/>
  <c r="D132" i="23"/>
  <c r="L131" i="23"/>
  <c r="D130" i="23"/>
  <c r="H129" i="23"/>
  <c r="E128" i="23"/>
  <c r="D127" i="23"/>
  <c r="E127" i="23" s="1"/>
  <c r="G127" i="23" s="1"/>
  <c r="L127" i="23" s="1"/>
  <c r="F126" i="23"/>
  <c r="E126" i="23"/>
  <c r="F125" i="23"/>
  <c r="E125" i="23"/>
  <c r="F124" i="23"/>
  <c r="F132" i="23" s="1"/>
  <c r="D124" i="23"/>
  <c r="E124" i="23" s="1"/>
  <c r="G124" i="23" s="1"/>
  <c r="L124" i="23" s="1"/>
  <c r="L123" i="23"/>
  <c r="J122" i="23"/>
  <c r="J130" i="23" s="1"/>
  <c r="D122" i="23"/>
  <c r="E122" i="23" s="1"/>
  <c r="H121" i="23"/>
  <c r="E121" i="23"/>
  <c r="F118" i="23"/>
  <c r="L117" i="23"/>
  <c r="H115" i="23"/>
  <c r="F112" i="23"/>
  <c r="L111" i="23"/>
  <c r="H109" i="23"/>
  <c r="F107" i="23"/>
  <c r="D107" i="23"/>
  <c r="L106" i="23"/>
  <c r="H105" i="23"/>
  <c r="E104" i="23"/>
  <c r="A104" i="23"/>
  <c r="A108" i="23" s="1"/>
  <c r="A114" i="23" s="1"/>
  <c r="A120" i="23" s="1"/>
  <c r="A128" i="23" s="1"/>
  <c r="E103" i="23"/>
  <c r="G103" i="23" s="1"/>
  <c r="L103" i="23" s="1"/>
  <c r="F102" i="23"/>
  <c r="E102" i="23"/>
  <c r="D101" i="23"/>
  <c r="E101" i="23" s="1"/>
  <c r="G101" i="23" s="1"/>
  <c r="L101" i="23" s="1"/>
  <c r="L100" i="23"/>
  <c r="H99" i="23"/>
  <c r="E99" i="23"/>
  <c r="F96" i="23"/>
  <c r="F307" i="23" s="1"/>
  <c r="E96" i="23"/>
  <c r="L95" i="23"/>
  <c r="H94" i="23"/>
  <c r="E94" i="23"/>
  <c r="I94" i="23" s="1"/>
  <c r="L94" i="23" s="1"/>
  <c r="F92" i="23"/>
  <c r="E92" i="23"/>
  <c r="L91" i="23"/>
  <c r="H90" i="23"/>
  <c r="E90" i="23"/>
  <c r="E88" i="23"/>
  <c r="G88" i="23" s="1"/>
  <c r="L88" i="23" s="1"/>
  <c r="F87" i="23"/>
  <c r="E87" i="23"/>
  <c r="G87" i="23" s="1"/>
  <c r="L87" i="23" s="1"/>
  <c r="E86" i="23"/>
  <c r="G86" i="23" s="1"/>
  <c r="L86" i="23" s="1"/>
  <c r="E85" i="23"/>
  <c r="G85" i="23" s="1"/>
  <c r="L85" i="23" s="1"/>
  <c r="E84" i="23"/>
  <c r="G84" i="23" s="1"/>
  <c r="L84" i="23" s="1"/>
  <c r="L83" i="23"/>
  <c r="E82" i="23"/>
  <c r="K82" i="23" s="1"/>
  <c r="L82" i="23" s="1"/>
  <c r="H81" i="23"/>
  <c r="E81" i="23"/>
  <c r="F78" i="23"/>
  <c r="F77" i="23"/>
  <c r="L76" i="23"/>
  <c r="H74" i="23"/>
  <c r="E73" i="23"/>
  <c r="E79" i="23" s="1"/>
  <c r="G79" i="23" s="1"/>
  <c r="L79" i="23" s="1"/>
  <c r="L64" i="23"/>
  <c r="H63" i="23"/>
  <c r="A62" i="23"/>
  <c r="A73" i="23" s="1"/>
  <c r="F61" i="23"/>
  <c r="F60" i="23"/>
  <c r="D60" i="23"/>
  <c r="F59" i="23"/>
  <c r="D59" i="23"/>
  <c r="F58" i="23"/>
  <c r="D58" i="23"/>
  <c r="D57" i="23"/>
  <c r="L56" i="23"/>
  <c r="J55" i="23"/>
  <c r="D55" i="23"/>
  <c r="H54" i="23"/>
  <c r="E53" i="23"/>
  <c r="E54" i="23" s="1"/>
  <c r="I54" i="23" s="1"/>
  <c r="L54" i="23" s="1"/>
  <c r="D52" i="23"/>
  <c r="F51" i="23"/>
  <c r="D51" i="23"/>
  <c r="F50" i="23"/>
  <c r="D50" i="23"/>
  <c r="D49" i="23"/>
  <c r="L48" i="23"/>
  <c r="D47" i="23"/>
  <c r="H46" i="23"/>
  <c r="D44" i="23"/>
  <c r="F43" i="23"/>
  <c r="F42" i="23"/>
  <c r="F41" i="23"/>
  <c r="F49" i="23" s="1"/>
  <c r="D41" i="23"/>
  <c r="L40" i="23"/>
  <c r="J39" i="23"/>
  <c r="J47" i="23" s="1"/>
  <c r="D39" i="23"/>
  <c r="H38" i="23"/>
  <c r="F35" i="23"/>
  <c r="L34" i="23"/>
  <c r="H32" i="23"/>
  <c r="E31" i="23"/>
  <c r="E36" i="23" s="1"/>
  <c r="G36" i="23" s="1"/>
  <c r="L36" i="23" s="1"/>
  <c r="A31" i="23"/>
  <c r="A37" i="23" s="1"/>
  <c r="A45" i="23" s="1"/>
  <c r="E30" i="23"/>
  <c r="G30" i="23" s="1"/>
  <c r="L30" i="23" s="1"/>
  <c r="F29" i="23"/>
  <c r="E29" i="23"/>
  <c r="L28" i="23"/>
  <c r="H27" i="23"/>
  <c r="E27" i="23"/>
  <c r="F24" i="23"/>
  <c r="F23" i="23"/>
  <c r="L22" i="23"/>
  <c r="H20" i="23"/>
  <c r="E19" i="23"/>
  <c r="E24" i="23" s="1"/>
  <c r="L16" i="23"/>
  <c r="E13" i="23"/>
  <c r="E17" i="23" s="1"/>
  <c r="G17" i="23" s="1"/>
  <c r="K8" i="23"/>
  <c r="E279" i="23" l="1"/>
  <c r="G279" i="23" s="1"/>
  <c r="L279" i="23" s="1"/>
  <c r="E375" i="23"/>
  <c r="E269" i="23"/>
  <c r="G269" i="23" s="1"/>
  <c r="L269" i="23" s="1"/>
  <c r="E376" i="23"/>
  <c r="G376" i="23" s="1"/>
  <c r="L376" i="23" s="1"/>
  <c r="I472" i="23"/>
  <c r="L472" i="23" s="1"/>
  <c r="E60" i="23"/>
  <c r="G60" i="23" s="1"/>
  <c r="L60" i="23" s="1"/>
  <c r="E142" i="23"/>
  <c r="I305" i="23"/>
  <c r="L305" i="23" s="1"/>
  <c r="E372" i="23"/>
  <c r="G372" i="23" s="1"/>
  <c r="L372" i="23" s="1"/>
  <c r="G92" i="23"/>
  <c r="L92" i="23" s="1"/>
  <c r="L667" i="23"/>
  <c r="E289" i="23"/>
  <c r="G289" i="23" s="1"/>
  <c r="L289" i="23" s="1"/>
  <c r="E290" i="23"/>
  <c r="G290" i="23" s="1"/>
  <c r="L290" i="23" s="1"/>
  <c r="E288" i="23"/>
  <c r="G288" i="23" s="1"/>
  <c r="L288" i="23" s="1"/>
  <c r="G244" i="23"/>
  <c r="L244" i="23" s="1"/>
  <c r="E515" i="23"/>
  <c r="G515" i="23" s="1"/>
  <c r="L515" i="23" s="1"/>
  <c r="E276" i="23"/>
  <c r="G276" i="23" s="1"/>
  <c r="L276" i="23" s="1"/>
  <c r="E37" i="23"/>
  <c r="E41" i="23" s="1"/>
  <c r="G41" i="23" s="1"/>
  <c r="L41" i="23" s="1"/>
  <c r="G236" i="23"/>
  <c r="L236" i="23" s="1"/>
  <c r="E277" i="23"/>
  <c r="E59" i="23"/>
  <c r="G59" i="23" s="1"/>
  <c r="L59" i="23" s="1"/>
  <c r="E431" i="23"/>
  <c r="E433" i="23" s="1"/>
  <c r="K433" i="23" s="1"/>
  <c r="L433" i="23" s="1"/>
  <c r="E512" i="23"/>
  <c r="K512" i="23" s="1"/>
  <c r="L512" i="23" s="1"/>
  <c r="I495" i="23"/>
  <c r="I165" i="23"/>
  <c r="L165" i="23" s="1"/>
  <c r="E278" i="23"/>
  <c r="G278" i="23" s="1"/>
  <c r="L278" i="23" s="1"/>
  <c r="E323" i="23"/>
  <c r="G323" i="23" s="1"/>
  <c r="L323" i="23" s="1"/>
  <c r="I482" i="23"/>
  <c r="L482" i="23" s="1"/>
  <c r="I90" i="23"/>
  <c r="L90" i="23" s="1"/>
  <c r="E200" i="23"/>
  <c r="G200" i="23" s="1"/>
  <c r="L200" i="23" s="1"/>
  <c r="E329" i="23"/>
  <c r="G329" i="23" s="1"/>
  <c r="L329" i="23" s="1"/>
  <c r="L574" i="23"/>
  <c r="E330" i="23"/>
  <c r="G330" i="23" s="1"/>
  <c r="L330" i="23" s="1"/>
  <c r="E490" i="23"/>
  <c r="G490" i="23" s="1"/>
  <c r="L490" i="23" s="1"/>
  <c r="G520" i="23"/>
  <c r="L520" i="23" s="1"/>
  <c r="G125" i="23"/>
  <c r="L125" i="23" s="1"/>
  <c r="E170" i="23"/>
  <c r="G170" i="23" s="1"/>
  <c r="L170" i="23" s="1"/>
  <c r="G242" i="23"/>
  <c r="L242" i="23" s="1"/>
  <c r="G280" i="23"/>
  <c r="L280" i="23" s="1"/>
  <c r="E474" i="23"/>
  <c r="G474" i="23" s="1"/>
  <c r="L474" i="23" s="1"/>
  <c r="G205" i="23"/>
  <c r="L205" i="23" s="1"/>
  <c r="G252" i="23"/>
  <c r="L252" i="23" s="1"/>
  <c r="E285" i="23"/>
  <c r="G285" i="23" s="1"/>
  <c r="L285" i="23" s="1"/>
  <c r="I427" i="23"/>
  <c r="L427" i="23" s="1"/>
  <c r="L670" i="23"/>
  <c r="E171" i="23"/>
  <c r="G171" i="23" s="1"/>
  <c r="L171" i="23" s="1"/>
  <c r="I669" i="23"/>
  <c r="E326" i="23"/>
  <c r="I326" i="23" s="1"/>
  <c r="L326" i="23" s="1"/>
  <c r="G102" i="23"/>
  <c r="L102" i="23" s="1"/>
  <c r="E199" i="23"/>
  <c r="E166" i="23"/>
  <c r="K166" i="23" s="1"/>
  <c r="L166" i="23" s="1"/>
  <c r="G250" i="23"/>
  <c r="L250" i="23" s="1"/>
  <c r="L501" i="23"/>
  <c r="G241" i="23"/>
  <c r="L241" i="23" s="1"/>
  <c r="G299" i="23"/>
  <c r="L299" i="23" s="1"/>
  <c r="E107" i="23"/>
  <c r="G107" i="23" s="1"/>
  <c r="L107" i="23" s="1"/>
  <c r="G307" i="23"/>
  <c r="L307" i="23" s="1"/>
  <c r="E287" i="23"/>
  <c r="G287" i="23" s="1"/>
  <c r="L287" i="23" s="1"/>
  <c r="I382" i="23"/>
  <c r="L382" i="23" s="1"/>
  <c r="G402" i="23"/>
  <c r="L402" i="23" s="1"/>
  <c r="L687" i="23"/>
  <c r="I689" i="23"/>
  <c r="L666" i="23"/>
  <c r="G277" i="23"/>
  <c r="L277" i="23" s="1"/>
  <c r="E396" i="23"/>
  <c r="K396" i="23" s="1"/>
  <c r="L396" i="23" s="1"/>
  <c r="E39" i="23"/>
  <c r="K39" i="23" s="1"/>
  <c r="L39" i="23" s="1"/>
  <c r="G363" i="23"/>
  <c r="L363" i="23" s="1"/>
  <c r="E301" i="23"/>
  <c r="I301" i="23" s="1"/>
  <c r="L301" i="23" s="1"/>
  <c r="E390" i="23"/>
  <c r="G390" i="23" s="1"/>
  <c r="L390" i="23" s="1"/>
  <c r="E400" i="23"/>
  <c r="G400" i="23" s="1"/>
  <c r="L400" i="23" s="1"/>
  <c r="G29" i="23"/>
  <c r="L29" i="23" s="1"/>
  <c r="G526" i="23"/>
  <c r="L526" i="23" s="1"/>
  <c r="E412" i="23"/>
  <c r="G412" i="23" s="1"/>
  <c r="L412" i="23" s="1"/>
  <c r="E410" i="23"/>
  <c r="G410" i="23" s="1"/>
  <c r="L410" i="23" s="1"/>
  <c r="E408" i="23"/>
  <c r="G408" i="23" s="1"/>
  <c r="L408" i="23" s="1"/>
  <c r="E411" i="23"/>
  <c r="E413" i="23" s="1"/>
  <c r="G413" i="23" s="1"/>
  <c r="L413" i="23" s="1"/>
  <c r="E409" i="23"/>
  <c r="G409" i="23" s="1"/>
  <c r="L409" i="23" s="1"/>
  <c r="E406" i="23"/>
  <c r="G406" i="23" s="1"/>
  <c r="L406" i="23" s="1"/>
  <c r="E395" i="23"/>
  <c r="I395" i="23" s="1"/>
  <c r="L395" i="23" s="1"/>
  <c r="G258" i="23"/>
  <c r="L258" i="23" s="1"/>
  <c r="G375" i="23"/>
  <c r="L375" i="23" s="1"/>
  <c r="G162" i="23"/>
  <c r="L162" i="23" s="1"/>
  <c r="G399" i="23"/>
  <c r="L399" i="23" s="1"/>
  <c r="I121" i="23"/>
  <c r="L121" i="23" s="1"/>
  <c r="E401" i="23"/>
  <c r="G401" i="23" s="1"/>
  <c r="L401" i="23" s="1"/>
  <c r="E477" i="23"/>
  <c r="K477" i="23" s="1"/>
  <c r="L477" i="23" s="1"/>
  <c r="G251" i="23"/>
  <c r="L251" i="23" s="1"/>
  <c r="E133" i="23"/>
  <c r="G133" i="23" s="1"/>
  <c r="L133" i="23" s="1"/>
  <c r="E105" i="23"/>
  <c r="I105" i="23" s="1"/>
  <c r="L105" i="23" s="1"/>
  <c r="E108" i="23"/>
  <c r="E112" i="23" s="1"/>
  <c r="G112" i="23" s="1"/>
  <c r="L112" i="23" s="1"/>
  <c r="G199" i="23"/>
  <c r="L199" i="23" s="1"/>
  <c r="E492" i="23"/>
  <c r="I492" i="23" s="1"/>
  <c r="L492" i="23" s="1"/>
  <c r="I360" i="23"/>
  <c r="L360" i="23" s="1"/>
  <c r="G161" i="23"/>
  <c r="L161" i="23" s="1"/>
  <c r="E398" i="23"/>
  <c r="G398" i="23" s="1"/>
  <c r="L398" i="23" s="1"/>
  <c r="E132" i="23"/>
  <c r="G132" i="23" s="1"/>
  <c r="L132" i="23" s="1"/>
  <c r="E15" i="23"/>
  <c r="K15" i="23" s="1"/>
  <c r="L15" i="23" s="1"/>
  <c r="E18" i="23"/>
  <c r="G18" i="23" s="1"/>
  <c r="L18" i="23" s="1"/>
  <c r="I174" i="23"/>
  <c r="L174" i="23" s="1"/>
  <c r="I202" i="23"/>
  <c r="L202" i="23" s="1"/>
  <c r="G238" i="23"/>
  <c r="L238" i="23" s="1"/>
  <c r="E387" i="23"/>
  <c r="K387" i="23" s="1"/>
  <c r="L387" i="23" s="1"/>
  <c r="E32" i="23"/>
  <c r="I32" i="23" s="1"/>
  <c r="L32" i="23" s="1"/>
  <c r="E55" i="23"/>
  <c r="K55" i="23" s="1"/>
  <c r="L55" i="23" s="1"/>
  <c r="E265" i="23"/>
  <c r="K265" i="23" s="1"/>
  <c r="L265" i="23" s="1"/>
  <c r="E459" i="23"/>
  <c r="G459" i="23" s="1"/>
  <c r="L459" i="23" s="1"/>
  <c r="G495" i="23"/>
  <c r="E23" i="23"/>
  <c r="G23" i="23" s="1"/>
  <c r="L23" i="23" s="1"/>
  <c r="G240" i="23"/>
  <c r="L240" i="23" s="1"/>
  <c r="I293" i="23"/>
  <c r="L293" i="23" s="1"/>
  <c r="G373" i="23"/>
  <c r="L373" i="23" s="1"/>
  <c r="E399" i="23"/>
  <c r="E274" i="23"/>
  <c r="K274" i="23" s="1"/>
  <c r="L274" i="23" s="1"/>
  <c r="E379" i="23"/>
  <c r="G379" i="23" s="1"/>
  <c r="L379" i="23" s="1"/>
  <c r="E78" i="23"/>
  <c r="G78" i="23" s="1"/>
  <c r="L78" i="23" s="1"/>
  <c r="G234" i="23"/>
  <c r="L234" i="23" s="1"/>
  <c r="E35" i="23"/>
  <c r="G35" i="23" s="1"/>
  <c r="L35" i="23" s="1"/>
  <c r="I157" i="23"/>
  <c r="L157" i="23" s="1"/>
  <c r="E168" i="23"/>
  <c r="E268" i="23"/>
  <c r="G268" i="23" s="1"/>
  <c r="L268" i="23" s="1"/>
  <c r="E324" i="23"/>
  <c r="G324" i="23" s="1"/>
  <c r="L324" i="23" s="1"/>
  <c r="E380" i="23"/>
  <c r="G380" i="23" s="1"/>
  <c r="L380" i="23" s="1"/>
  <c r="E391" i="23"/>
  <c r="G391" i="23" s="1"/>
  <c r="L391" i="23" s="1"/>
  <c r="I497" i="23"/>
  <c r="L497" i="23" s="1"/>
  <c r="G24" i="23"/>
  <c r="L24" i="23" s="1"/>
  <c r="G126" i="23"/>
  <c r="L126" i="23" s="1"/>
  <c r="E138" i="23"/>
  <c r="K138" i="23" s="1"/>
  <c r="L138" i="23" s="1"/>
  <c r="E169" i="23"/>
  <c r="G235" i="23"/>
  <c r="L235" i="23" s="1"/>
  <c r="I310" i="23"/>
  <c r="L310" i="23" s="1"/>
  <c r="E371" i="23"/>
  <c r="G371" i="23" s="1"/>
  <c r="L371" i="23" s="1"/>
  <c r="E511" i="23"/>
  <c r="I511" i="23" s="1"/>
  <c r="L511" i="23" s="1"/>
  <c r="I99" i="23"/>
  <c r="L99" i="23" s="1"/>
  <c r="G253" i="23"/>
  <c r="L253" i="23" s="1"/>
  <c r="E273" i="23"/>
  <c r="I273" i="23" s="1"/>
  <c r="L273" i="23" s="1"/>
  <c r="I423" i="23"/>
  <c r="L423" i="23" s="1"/>
  <c r="E505" i="23"/>
  <c r="K505" i="23" s="1"/>
  <c r="L505" i="23" s="1"/>
  <c r="I517" i="23"/>
  <c r="L517" i="23" s="1"/>
  <c r="E33" i="23"/>
  <c r="K33" i="23" s="1"/>
  <c r="L33" i="23" s="1"/>
  <c r="G248" i="23"/>
  <c r="L248" i="23" s="1"/>
  <c r="E282" i="23"/>
  <c r="I282" i="23" s="1"/>
  <c r="L282" i="23" s="1"/>
  <c r="E178" i="23"/>
  <c r="I178" i="23" s="1"/>
  <c r="L178" i="23" s="1"/>
  <c r="E196" i="23"/>
  <c r="I196" i="23" s="1"/>
  <c r="L196" i="23" s="1"/>
  <c r="E267" i="23"/>
  <c r="G267" i="23" s="1"/>
  <c r="L267" i="23" s="1"/>
  <c r="L572" i="23"/>
  <c r="G514" i="23"/>
  <c r="L514" i="23" s="1"/>
  <c r="I27" i="23"/>
  <c r="L27" i="23" s="1"/>
  <c r="G169" i="23"/>
  <c r="L169" i="23" s="1"/>
  <c r="E284" i="23"/>
  <c r="G284" i="23" s="1"/>
  <c r="L284" i="23" s="1"/>
  <c r="E392" i="23"/>
  <c r="G392" i="23" s="1"/>
  <c r="L392" i="23" s="1"/>
  <c r="I415" i="23"/>
  <c r="L415" i="23" s="1"/>
  <c r="E499" i="23"/>
  <c r="G499" i="23" s="1"/>
  <c r="L499" i="23" s="1"/>
  <c r="E606" i="23"/>
  <c r="G606" i="23" s="1"/>
  <c r="L606" i="23" s="1"/>
  <c r="L602" i="23"/>
  <c r="E600" i="23"/>
  <c r="I600" i="23" s="1"/>
  <c r="G142" i="23"/>
  <c r="L142" i="23" s="1"/>
  <c r="L17" i="23"/>
  <c r="G365" i="23"/>
  <c r="L365" i="23" s="1"/>
  <c r="I530" i="23"/>
  <c r="L530" i="23" s="1"/>
  <c r="I314" i="23"/>
  <c r="L314" i="23" s="1"/>
  <c r="E341" i="23"/>
  <c r="G341" i="23" s="1"/>
  <c r="L341" i="23" s="1"/>
  <c r="E339" i="23"/>
  <c r="K339" i="23" s="1"/>
  <c r="L339" i="23" s="1"/>
  <c r="E338" i="23"/>
  <c r="I338" i="23" s="1"/>
  <c r="L338" i="23" s="1"/>
  <c r="E351" i="23"/>
  <c r="E358" i="23" s="1"/>
  <c r="G358" i="23" s="1"/>
  <c r="L358" i="23" s="1"/>
  <c r="E432" i="23"/>
  <c r="I432" i="23" s="1"/>
  <c r="L432" i="23" s="1"/>
  <c r="L573" i="23"/>
  <c r="E193" i="23"/>
  <c r="G193" i="23" s="1"/>
  <c r="L193" i="23" s="1"/>
  <c r="E191" i="23"/>
  <c r="K191" i="23" s="1"/>
  <c r="L191" i="23" s="1"/>
  <c r="E194" i="23"/>
  <c r="G194" i="23" s="1"/>
  <c r="L194" i="23" s="1"/>
  <c r="E533" i="23"/>
  <c r="G533" i="23" s="1"/>
  <c r="L533" i="23" s="1"/>
  <c r="E531" i="23"/>
  <c r="K531" i="23" s="1"/>
  <c r="L531" i="23" s="1"/>
  <c r="E534" i="23"/>
  <c r="G534" i="23" s="1"/>
  <c r="L534" i="23" s="1"/>
  <c r="E216" i="23"/>
  <c r="I216" i="23" s="1"/>
  <c r="L216" i="23" s="1"/>
  <c r="G160" i="23"/>
  <c r="L160" i="23" s="1"/>
  <c r="F168" i="23"/>
  <c r="E476" i="23"/>
  <c r="I476" i="23" s="1"/>
  <c r="L476" i="23" s="1"/>
  <c r="E318" i="23"/>
  <c r="G318" i="23" s="1"/>
  <c r="L318" i="23" s="1"/>
  <c r="E317" i="23"/>
  <c r="G317" i="23" s="1"/>
  <c r="L317" i="23" s="1"/>
  <c r="G254" i="23"/>
  <c r="L254" i="23" s="1"/>
  <c r="E141" i="23"/>
  <c r="G141" i="23" s="1"/>
  <c r="L141" i="23" s="1"/>
  <c r="E144" i="23"/>
  <c r="G144" i="23" s="1"/>
  <c r="L144" i="23" s="1"/>
  <c r="E140" i="23"/>
  <c r="G140" i="23" s="1"/>
  <c r="L140" i="23" s="1"/>
  <c r="G249" i="23"/>
  <c r="L249" i="23" s="1"/>
  <c r="E143" i="23"/>
  <c r="G143" i="23" s="1"/>
  <c r="L143" i="23" s="1"/>
  <c r="E217" i="23"/>
  <c r="K217" i="23" s="1"/>
  <c r="L217" i="23" s="1"/>
  <c r="G243" i="23"/>
  <c r="L243" i="23" s="1"/>
  <c r="E315" i="23"/>
  <c r="K315" i="23" s="1"/>
  <c r="L315" i="23" s="1"/>
  <c r="E342" i="23"/>
  <c r="G342" i="23" s="1"/>
  <c r="L342" i="23" s="1"/>
  <c r="E468" i="23"/>
  <c r="I468" i="23" s="1"/>
  <c r="L468" i="23" s="1"/>
  <c r="E479" i="23"/>
  <c r="G479" i="23" s="1"/>
  <c r="L479" i="23" s="1"/>
  <c r="I81" i="23"/>
  <c r="L81" i="23" s="1"/>
  <c r="F219" i="23"/>
  <c r="E389" i="23"/>
  <c r="G389" i="23" s="1"/>
  <c r="L389" i="23" s="1"/>
  <c r="E393" i="23"/>
  <c r="G393" i="23" s="1"/>
  <c r="L393" i="23" s="1"/>
  <c r="E417" i="23"/>
  <c r="G417" i="23" s="1"/>
  <c r="L417" i="23" s="1"/>
  <c r="E465" i="23"/>
  <c r="G465" i="23" s="1"/>
  <c r="L465" i="23" s="1"/>
  <c r="E460" i="23"/>
  <c r="G460" i="23" s="1"/>
  <c r="L460" i="23" s="1"/>
  <c r="E464" i="23"/>
  <c r="E462" i="23"/>
  <c r="G462" i="23" s="1"/>
  <c r="L462" i="23" s="1"/>
  <c r="E463" i="23"/>
  <c r="G463" i="23" s="1"/>
  <c r="L463" i="23" s="1"/>
  <c r="E57" i="23"/>
  <c r="G57" i="23" s="1"/>
  <c r="L57" i="23" s="1"/>
  <c r="E110" i="23"/>
  <c r="K110" i="23" s="1"/>
  <c r="L110" i="23" s="1"/>
  <c r="E182" i="23"/>
  <c r="G182" i="23" s="1"/>
  <c r="L182" i="23" s="1"/>
  <c r="E181" i="23"/>
  <c r="G181" i="23" s="1"/>
  <c r="L181" i="23" s="1"/>
  <c r="G239" i="23"/>
  <c r="L239" i="23" s="1"/>
  <c r="E312" i="23"/>
  <c r="G312" i="23" s="1"/>
  <c r="L312" i="23" s="1"/>
  <c r="E331" i="23"/>
  <c r="E386" i="23"/>
  <c r="I386" i="23" s="1"/>
  <c r="L386" i="23" s="1"/>
  <c r="E457" i="23"/>
  <c r="I457" i="23" s="1"/>
  <c r="L457" i="23" s="1"/>
  <c r="E190" i="23"/>
  <c r="I190" i="23" s="1"/>
  <c r="L190" i="23" s="1"/>
  <c r="E259" i="23"/>
  <c r="E61" i="23"/>
  <c r="G61" i="23" s="1"/>
  <c r="L61" i="23" s="1"/>
  <c r="E62" i="23"/>
  <c r="E58" i="23"/>
  <c r="G58" i="23" s="1"/>
  <c r="L58" i="23" s="1"/>
  <c r="E295" i="23"/>
  <c r="G295" i="23" s="1"/>
  <c r="L295" i="23" s="1"/>
  <c r="K122" i="23"/>
  <c r="L122" i="23" s="1"/>
  <c r="G96" i="23"/>
  <c r="L96" i="23" s="1"/>
  <c r="E207" i="23"/>
  <c r="E188" i="23"/>
  <c r="G188" i="23" s="1"/>
  <c r="L188" i="23" s="1"/>
  <c r="I523" i="23"/>
  <c r="L523" i="23" s="1"/>
  <c r="E535" i="23"/>
  <c r="E219" i="23"/>
  <c r="E74" i="23"/>
  <c r="I74" i="23" s="1"/>
  <c r="L74" i="23" s="1"/>
  <c r="E77" i="23"/>
  <c r="G77" i="23" s="1"/>
  <c r="L77" i="23" s="1"/>
  <c r="E75" i="23"/>
  <c r="K75" i="23" s="1"/>
  <c r="L75" i="23" s="1"/>
  <c r="E145" i="23"/>
  <c r="E221" i="23"/>
  <c r="G221" i="23" s="1"/>
  <c r="L221" i="23" s="1"/>
  <c r="E222" i="23"/>
  <c r="G222" i="23" s="1"/>
  <c r="L222" i="23" s="1"/>
  <c r="E129" i="23"/>
  <c r="I129" i="23" s="1"/>
  <c r="L129" i="23" s="1"/>
  <c r="E135" i="23"/>
  <c r="G135" i="23" s="1"/>
  <c r="L135" i="23" s="1"/>
  <c r="E130" i="23"/>
  <c r="K130" i="23" s="1"/>
  <c r="L130" i="23" s="1"/>
  <c r="E184" i="23"/>
  <c r="I184" i="23" s="1"/>
  <c r="L184" i="23" s="1"/>
  <c r="E187" i="23"/>
  <c r="G187" i="23" s="1"/>
  <c r="L187" i="23" s="1"/>
  <c r="E14" i="23"/>
  <c r="I14" i="23" s="1"/>
  <c r="G255" i="23"/>
  <c r="L255" i="23" s="1"/>
  <c r="E404" i="23"/>
  <c r="I404" i="23" s="1"/>
  <c r="L404" i="23" s="1"/>
  <c r="E407" i="23"/>
  <c r="G407" i="23" s="1"/>
  <c r="L407" i="23" s="1"/>
  <c r="E421" i="23"/>
  <c r="G421" i="23" s="1"/>
  <c r="L421" i="23" s="1"/>
  <c r="E419" i="23"/>
  <c r="I419" i="23" s="1"/>
  <c r="L419" i="23" s="1"/>
  <c r="E508" i="23"/>
  <c r="G508" i="23" s="1"/>
  <c r="L508" i="23" s="1"/>
  <c r="E507" i="23"/>
  <c r="G507" i="23" s="1"/>
  <c r="L507" i="23" s="1"/>
  <c r="G303" i="23"/>
  <c r="L303" i="23" s="1"/>
  <c r="E504" i="23"/>
  <c r="I504" i="23" s="1"/>
  <c r="L504" i="23" s="1"/>
  <c r="E134" i="23"/>
  <c r="G134" i="23" s="1"/>
  <c r="L134" i="23" s="1"/>
  <c r="I488" i="23"/>
  <c r="L488" i="23" s="1"/>
  <c r="E320" i="23"/>
  <c r="I320" i="23" s="1"/>
  <c r="L320" i="23" s="1"/>
  <c r="E343" i="23"/>
  <c r="E350" i="23" s="1"/>
  <c r="G350" i="23" s="1"/>
  <c r="L350" i="23" s="1"/>
  <c r="E378" i="23"/>
  <c r="G378" i="23" s="1"/>
  <c r="L378" i="23" s="1"/>
  <c r="E374" i="23"/>
  <c r="G374" i="23" s="1"/>
  <c r="L374" i="23" s="1"/>
  <c r="E370" i="23"/>
  <c r="G370" i="23" s="1"/>
  <c r="L370" i="23" s="1"/>
  <c r="E297" i="23"/>
  <c r="I297" i="23" s="1"/>
  <c r="L297" i="23" s="1"/>
  <c r="E368" i="23"/>
  <c r="I368" i="23" s="1"/>
  <c r="L368" i="23" s="1"/>
  <c r="L500" i="23"/>
  <c r="E21" i="23"/>
  <c r="K21" i="23" s="1"/>
  <c r="L21" i="23" s="1"/>
  <c r="E25" i="23"/>
  <c r="G25" i="23" s="1"/>
  <c r="L25" i="23" s="1"/>
  <c r="E20" i="23"/>
  <c r="I20" i="23" s="1"/>
  <c r="L20" i="23" s="1"/>
  <c r="I518" i="62" l="1"/>
  <c r="K518" i="62"/>
  <c r="G518" i="62"/>
  <c r="E38" i="23"/>
  <c r="I38" i="23" s="1"/>
  <c r="L38" i="23" s="1"/>
  <c r="E45" i="23"/>
  <c r="E46" i="23" s="1"/>
  <c r="I46" i="23" s="1"/>
  <c r="L46" i="23" s="1"/>
  <c r="E42" i="23"/>
  <c r="G42" i="23" s="1"/>
  <c r="L42" i="23" s="1"/>
  <c r="E43" i="23"/>
  <c r="G43" i="23" s="1"/>
  <c r="L43" i="23" s="1"/>
  <c r="L669" i="23"/>
  <c r="E291" i="23"/>
  <c r="G291" i="23" s="1"/>
  <c r="L291" i="23" s="1"/>
  <c r="E44" i="23"/>
  <c r="G44" i="23" s="1"/>
  <c r="L44" i="23" s="1"/>
  <c r="E437" i="23"/>
  <c r="E440" i="23" s="1"/>
  <c r="G440" i="23" s="1"/>
  <c r="L440" i="23" s="1"/>
  <c r="E622" i="23"/>
  <c r="E632" i="23" s="1"/>
  <c r="G632" i="23" s="1"/>
  <c r="L632" i="23" s="1"/>
  <c r="L495" i="23"/>
  <c r="E435" i="23"/>
  <c r="G435" i="23" s="1"/>
  <c r="L435" i="23" s="1"/>
  <c r="E436" i="23"/>
  <c r="G436" i="23" s="1"/>
  <c r="L436" i="23" s="1"/>
  <c r="G608" i="23"/>
  <c r="L609" i="23" s="1"/>
  <c r="E47" i="23"/>
  <c r="K47" i="23" s="1"/>
  <c r="L47" i="23" s="1"/>
  <c r="L689" i="23"/>
  <c r="L691" i="23" s="1"/>
  <c r="L692" i="23" s="1"/>
  <c r="L693" i="23" s="1"/>
  <c r="L694" i="23" s="1"/>
  <c r="L695" i="23" s="1"/>
  <c r="L696" i="23" s="1"/>
  <c r="L697" i="23" s="1"/>
  <c r="E49" i="23"/>
  <c r="G49" i="23" s="1"/>
  <c r="L49" i="23" s="1"/>
  <c r="E113" i="23"/>
  <c r="G113" i="23" s="1"/>
  <c r="L113" i="23" s="1"/>
  <c r="E114" i="23"/>
  <c r="E109" i="23"/>
  <c r="I109" i="23" s="1"/>
  <c r="L109" i="23" s="1"/>
  <c r="G411" i="23"/>
  <c r="L411" i="23" s="1"/>
  <c r="E50" i="23"/>
  <c r="G50" i="23" s="1"/>
  <c r="L50" i="23" s="1"/>
  <c r="E51" i="23"/>
  <c r="G51" i="23" s="1"/>
  <c r="L51" i="23" s="1"/>
  <c r="E52" i="23"/>
  <c r="G52" i="23" s="1"/>
  <c r="L52" i="23" s="1"/>
  <c r="G168" i="23"/>
  <c r="L168" i="23" s="1"/>
  <c r="I608" i="23"/>
  <c r="L600" i="23"/>
  <c r="L608" i="23" s="1"/>
  <c r="E150" i="23"/>
  <c r="G150" i="23" s="1"/>
  <c r="L150" i="23" s="1"/>
  <c r="E154" i="23"/>
  <c r="G154" i="23" s="1"/>
  <c r="L154" i="23" s="1"/>
  <c r="E152" i="23"/>
  <c r="G152" i="23" s="1"/>
  <c r="L152" i="23" s="1"/>
  <c r="E151" i="23"/>
  <c r="G151" i="23" s="1"/>
  <c r="L151" i="23" s="1"/>
  <c r="E146" i="23"/>
  <c r="I146" i="23" s="1"/>
  <c r="L146" i="23" s="1"/>
  <c r="E148" i="23"/>
  <c r="G148" i="23" s="1"/>
  <c r="L148" i="23" s="1"/>
  <c r="E149" i="23"/>
  <c r="G149" i="23" s="1"/>
  <c r="L149" i="23" s="1"/>
  <c r="E153" i="23"/>
  <c r="E332" i="23"/>
  <c r="I332" i="23" s="1"/>
  <c r="L332" i="23" s="1"/>
  <c r="E333" i="23"/>
  <c r="K333" i="23" s="1"/>
  <c r="L333" i="23" s="1"/>
  <c r="E335" i="23"/>
  <c r="G335" i="23" s="1"/>
  <c r="L335" i="23" s="1"/>
  <c r="E336" i="23"/>
  <c r="G336" i="23" s="1"/>
  <c r="L336" i="23" s="1"/>
  <c r="E70" i="23"/>
  <c r="E63" i="23"/>
  <c r="I63" i="23" s="1"/>
  <c r="L63" i="23" s="1"/>
  <c r="E67" i="23"/>
  <c r="G67" i="23" s="1"/>
  <c r="L67" i="23" s="1"/>
  <c r="E68" i="23"/>
  <c r="G68" i="23" s="1"/>
  <c r="L68" i="23" s="1"/>
  <c r="E69" i="23"/>
  <c r="G69" i="23" s="1"/>
  <c r="L69" i="23" s="1"/>
  <c r="E71" i="23"/>
  <c r="G71" i="23" s="1"/>
  <c r="L71" i="23" s="1"/>
  <c r="E66" i="23"/>
  <c r="G66" i="23" s="1"/>
  <c r="L66" i="23" s="1"/>
  <c r="E65" i="23"/>
  <c r="G65" i="23" s="1"/>
  <c r="L65" i="23" s="1"/>
  <c r="E445" i="23"/>
  <c r="G445" i="23" s="1"/>
  <c r="L445" i="23" s="1"/>
  <c r="E352" i="23"/>
  <c r="I352" i="23" s="1"/>
  <c r="L352" i="23" s="1"/>
  <c r="E356" i="23"/>
  <c r="G356" i="23" s="1"/>
  <c r="L356" i="23" s="1"/>
  <c r="E357" i="23"/>
  <c r="G357" i="23" s="1"/>
  <c r="L357" i="23" s="1"/>
  <c r="E355" i="23"/>
  <c r="G355" i="23" s="1"/>
  <c r="L355" i="23" s="1"/>
  <c r="L14" i="23"/>
  <c r="E539" i="23"/>
  <c r="G539" i="23" s="1"/>
  <c r="L539" i="23" s="1"/>
  <c r="E537" i="23"/>
  <c r="K537" i="23" s="1"/>
  <c r="L537" i="23" s="1"/>
  <c r="E541" i="23"/>
  <c r="E540" i="23"/>
  <c r="G540" i="23" s="1"/>
  <c r="L540" i="23" s="1"/>
  <c r="E536" i="23"/>
  <c r="I536" i="23" s="1"/>
  <c r="L536" i="23" s="1"/>
  <c r="E545" i="23"/>
  <c r="E262" i="23"/>
  <c r="G262" i="23" s="1"/>
  <c r="L262" i="23" s="1"/>
  <c r="E260" i="23"/>
  <c r="I260" i="23" s="1"/>
  <c r="L260" i="23" s="1"/>
  <c r="E213" i="23"/>
  <c r="G213" i="23" s="1"/>
  <c r="L213" i="23" s="1"/>
  <c r="E214" i="23"/>
  <c r="G214" i="23" s="1"/>
  <c r="L214" i="23" s="1"/>
  <c r="E223" i="23"/>
  <c r="E212" i="23"/>
  <c r="G212" i="23" s="1"/>
  <c r="L212" i="23" s="1"/>
  <c r="E208" i="23"/>
  <c r="I208" i="23" s="1"/>
  <c r="L208" i="23" s="1"/>
  <c r="G464" i="23"/>
  <c r="L464" i="23" s="1"/>
  <c r="E466" i="23"/>
  <c r="G466" i="23" s="1"/>
  <c r="L466" i="23" s="1"/>
  <c r="E353" i="23"/>
  <c r="K353" i="23" s="1"/>
  <c r="L353" i="23" s="1"/>
  <c r="G219" i="23"/>
  <c r="L219" i="23" s="1"/>
  <c r="F227" i="23"/>
  <c r="E209" i="23"/>
  <c r="K209" i="23" s="1"/>
  <c r="L209" i="23" s="1"/>
  <c r="E344" i="23"/>
  <c r="I344" i="23" s="1"/>
  <c r="L344" i="23" s="1"/>
  <c r="E349" i="23"/>
  <c r="G349" i="23" s="1"/>
  <c r="L349" i="23" s="1"/>
  <c r="E348" i="23"/>
  <c r="G348" i="23" s="1"/>
  <c r="L348" i="23" s="1"/>
  <c r="E347" i="23"/>
  <c r="G347" i="23" s="1"/>
  <c r="L347" i="23" s="1"/>
  <c r="E211" i="23"/>
  <c r="G211" i="23" s="1"/>
  <c r="L211" i="23" s="1"/>
  <c r="E345" i="23"/>
  <c r="K345" i="23" s="1"/>
  <c r="L345" i="23" s="1"/>
  <c r="L518" i="62" l="1"/>
  <c r="E447" i="23"/>
  <c r="G447" i="23" s="1"/>
  <c r="L447" i="23" s="1"/>
  <c r="E455" i="23"/>
  <c r="G455" i="23" s="1"/>
  <c r="L455" i="23" s="1"/>
  <c r="E638" i="23"/>
  <c r="G638" i="23" s="1"/>
  <c r="L638" i="23" s="1"/>
  <c r="E444" i="23"/>
  <c r="G444" i="23" s="1"/>
  <c r="L444" i="23" s="1"/>
  <c r="E443" i="23"/>
  <c r="G443" i="23" s="1"/>
  <c r="L443" i="23" s="1"/>
  <c r="E629" i="23"/>
  <c r="G629" i="23" s="1"/>
  <c r="L629" i="23" s="1"/>
  <c r="E441" i="23"/>
  <c r="G441" i="23" s="1"/>
  <c r="L441" i="23" s="1"/>
  <c r="E438" i="23"/>
  <c r="I438" i="23" s="1"/>
  <c r="L438" i="23" s="1"/>
  <c r="L610" i="23"/>
  <c r="L611" i="23" s="1"/>
  <c r="L612" i="23" s="1"/>
  <c r="L613" i="23" s="1"/>
  <c r="L614" i="23" s="1"/>
  <c r="L615" i="23" s="1"/>
  <c r="L616" i="23" s="1"/>
  <c r="L617" i="23" s="1"/>
  <c r="L618" i="23" s="1"/>
  <c r="L619" i="23" s="1"/>
  <c r="L620" i="23" s="1"/>
  <c r="E630" i="23"/>
  <c r="G630" i="23" s="1"/>
  <c r="L630" i="23" s="1"/>
  <c r="E452" i="23"/>
  <c r="G452" i="23" s="1"/>
  <c r="L452" i="23" s="1"/>
  <c r="E448" i="23"/>
  <c r="G448" i="23" s="1"/>
  <c r="L448" i="23" s="1"/>
  <c r="E626" i="23"/>
  <c r="G626" i="23" s="1"/>
  <c r="L626" i="23" s="1"/>
  <c r="E449" i="23"/>
  <c r="G449" i="23" s="1"/>
  <c r="L449" i="23" s="1"/>
  <c r="E450" i="23"/>
  <c r="G450" i="23" s="1"/>
  <c r="L450" i="23" s="1"/>
  <c r="E631" i="23"/>
  <c r="G631" i="23" s="1"/>
  <c r="L631" i="23" s="1"/>
  <c r="E635" i="23"/>
  <c r="G635" i="23" s="1"/>
  <c r="L635" i="23" s="1"/>
  <c r="E633" i="23"/>
  <c r="G633" i="23" s="1"/>
  <c r="L633" i="23" s="1"/>
  <c r="E640" i="23"/>
  <c r="G640" i="23" s="1"/>
  <c r="L640" i="23" s="1"/>
  <c r="E637" i="23"/>
  <c r="G637" i="23" s="1"/>
  <c r="L637" i="23" s="1"/>
  <c r="E627" i="23"/>
  <c r="G627" i="23" s="1"/>
  <c r="L627" i="23" s="1"/>
  <c r="E628" i="23"/>
  <c r="G628" i="23" s="1"/>
  <c r="L628" i="23" s="1"/>
  <c r="E625" i="23"/>
  <c r="G625" i="23" s="1"/>
  <c r="L625" i="23" s="1"/>
  <c r="E442" i="23"/>
  <c r="G442" i="23" s="1"/>
  <c r="L442" i="23" s="1"/>
  <c r="E636" i="23"/>
  <c r="G636" i="23" s="1"/>
  <c r="L636" i="23" s="1"/>
  <c r="E453" i="23"/>
  <c r="G453" i="23" s="1"/>
  <c r="L453" i="23" s="1"/>
  <c r="E446" i="23"/>
  <c r="G446" i="23" s="1"/>
  <c r="L446" i="23" s="1"/>
  <c r="E454" i="23"/>
  <c r="G454" i="23" s="1"/>
  <c r="L454" i="23" s="1"/>
  <c r="E451" i="23"/>
  <c r="G451" i="23" s="1"/>
  <c r="L451" i="23" s="1"/>
  <c r="E623" i="23"/>
  <c r="I623" i="23" s="1"/>
  <c r="L623" i="23" s="1"/>
  <c r="E639" i="23"/>
  <c r="G639" i="23" s="1"/>
  <c r="L639" i="23" s="1"/>
  <c r="E634" i="23"/>
  <c r="G634" i="23" s="1"/>
  <c r="L634" i="23" s="1"/>
  <c r="L698" i="23"/>
  <c r="L699" i="23" s="1"/>
  <c r="L700" i="23" s="1"/>
  <c r="L701" i="23" s="1"/>
  <c r="E116" i="23"/>
  <c r="K116" i="23" s="1"/>
  <c r="L116" i="23" s="1"/>
  <c r="E119" i="23"/>
  <c r="G119" i="23" s="1"/>
  <c r="L119" i="23" s="1"/>
  <c r="E115" i="23"/>
  <c r="I115" i="23" s="1"/>
  <c r="L115" i="23" s="1"/>
  <c r="E118" i="23"/>
  <c r="G118" i="23" s="1"/>
  <c r="L118" i="23" s="1"/>
  <c r="G70" i="23"/>
  <c r="L70" i="23" s="1"/>
  <c r="E72" i="23"/>
  <c r="G72" i="23" s="1"/>
  <c r="L72" i="23" s="1"/>
  <c r="E228" i="23"/>
  <c r="G228" i="23" s="1"/>
  <c r="L228" i="23" s="1"/>
  <c r="E224" i="23"/>
  <c r="I224" i="23" s="1"/>
  <c r="L224" i="23" s="1"/>
  <c r="E229" i="23"/>
  <c r="G229" i="23" s="1"/>
  <c r="L229" i="23" s="1"/>
  <c r="E230" i="23"/>
  <c r="G230" i="23" s="1"/>
  <c r="L230" i="23" s="1"/>
  <c r="E225" i="23"/>
  <c r="K225" i="23" s="1"/>
  <c r="L225" i="23" s="1"/>
  <c r="E227" i="23"/>
  <c r="G227" i="23" s="1"/>
  <c r="L227" i="23" s="1"/>
  <c r="E542" i="23"/>
  <c r="I542" i="23" s="1"/>
  <c r="L542" i="23" s="1"/>
  <c r="E544" i="23"/>
  <c r="G544" i="23" s="1"/>
  <c r="L544" i="23" s="1"/>
  <c r="G153" i="23"/>
  <c r="L153" i="23" s="1"/>
  <c r="E155" i="23"/>
  <c r="G155" i="23" s="1"/>
  <c r="L155" i="23" s="1"/>
  <c r="E550" i="23"/>
  <c r="G550" i="23" s="1"/>
  <c r="L550" i="23" s="1"/>
  <c r="E549" i="23"/>
  <c r="G549" i="23" s="1"/>
  <c r="L549" i="23" s="1"/>
  <c r="E551" i="23"/>
  <c r="G551" i="23" s="1"/>
  <c r="L551" i="23" s="1"/>
  <c r="E546" i="23"/>
  <c r="E547" i="23"/>
  <c r="K547" i="23" s="1"/>
  <c r="L547" i="23" s="1"/>
  <c r="B85" i="22"/>
  <c r="F83" i="22"/>
  <c r="G60" i="22"/>
  <c r="D60" i="22"/>
  <c r="H54" i="22"/>
  <c r="I51" i="22"/>
  <c r="I50" i="22"/>
  <c r="H48" i="22"/>
  <c r="F48" i="22"/>
  <c r="F50" i="22" s="1"/>
  <c r="E48" i="22"/>
  <c r="E50" i="22" s="1"/>
  <c r="D48" i="22"/>
  <c r="D50" i="22" s="1"/>
  <c r="B48" i="22"/>
  <c r="B50" i="22" s="1"/>
  <c r="C32" i="22"/>
  <c r="C48" i="22" s="1"/>
  <c r="C50" i="22" s="1"/>
  <c r="G30" i="22"/>
  <c r="G48" i="22" s="1"/>
  <c r="G50" i="22" s="1"/>
  <c r="H24" i="22"/>
  <c r="H23" i="22"/>
  <c r="H22" i="22"/>
  <c r="H21" i="22"/>
  <c r="H20" i="22"/>
  <c r="H19" i="22"/>
  <c r="G18" i="22"/>
  <c r="H18" i="22" s="1"/>
  <c r="H14" i="22"/>
  <c r="H13" i="22"/>
  <c r="H12" i="22"/>
  <c r="H11" i="22"/>
  <c r="H10" i="22"/>
  <c r="H9" i="22"/>
  <c r="H8" i="22"/>
  <c r="H7" i="22"/>
  <c r="H6" i="22"/>
  <c r="H5" i="22"/>
  <c r="H4" i="22"/>
  <c r="L519" i="62" l="1"/>
  <c r="L520" i="62" s="1"/>
  <c r="L521" i="62" s="1"/>
  <c r="L522" i="62" s="1"/>
  <c r="L523" i="62" s="1"/>
  <c r="L524" i="62" s="1"/>
  <c r="L525" i="62" s="1"/>
  <c r="L641" i="23"/>
  <c r="G641" i="23"/>
  <c r="L642" i="23" s="1"/>
  <c r="L643" i="23" s="1"/>
  <c r="L644" i="23" s="1"/>
  <c r="L645" i="23" s="1"/>
  <c r="L646" i="23" s="1"/>
  <c r="L647" i="23" s="1"/>
  <c r="L648" i="23" s="1"/>
  <c r="L649" i="23" s="1"/>
  <c r="L650" i="23" s="1"/>
  <c r="L651" i="23" s="1"/>
  <c r="L652" i="23" s="1"/>
  <c r="L653" i="23" s="1"/>
  <c r="L671" i="23"/>
  <c r="L672" i="23" s="1"/>
  <c r="L673" i="23" s="1"/>
  <c r="L674" i="23" s="1"/>
  <c r="L675" i="23" s="1"/>
  <c r="L676" i="23" s="1"/>
  <c r="L677" i="23" s="1"/>
  <c r="L678" i="23" s="1"/>
  <c r="E552" i="23"/>
  <c r="I546" i="23"/>
  <c r="C52" i="22"/>
  <c r="L679" i="23" l="1"/>
  <c r="L680" i="23" s="1"/>
  <c r="L681" i="23" s="1"/>
  <c r="L546" i="23"/>
  <c r="E556" i="23"/>
  <c r="G556" i="23" s="1"/>
  <c r="E558" i="23"/>
  <c r="G558" i="23" s="1"/>
  <c r="L558" i="23" s="1"/>
  <c r="E557" i="23"/>
  <c r="G557" i="23" s="1"/>
  <c r="L557" i="23" s="1"/>
  <c r="E554" i="23"/>
  <c r="K554" i="23" s="1"/>
  <c r="E553" i="23"/>
  <c r="D7" i="63" l="1"/>
  <c r="E559" i="23"/>
  <c r="I553" i="23"/>
  <c r="L554" i="23"/>
  <c r="K575" i="23"/>
  <c r="L556" i="23"/>
  <c r="K6" i="66" l="1"/>
  <c r="K7" i="66" s="1"/>
  <c r="K6" i="62"/>
  <c r="K7" i="62" s="1"/>
  <c r="L553" i="23"/>
  <c r="E560" i="23"/>
  <c r="I560" i="23" s="1"/>
  <c r="L560" i="23" s="1"/>
  <c r="E562" i="23"/>
  <c r="G562" i="23" s="1"/>
  <c r="L562" i="23" s="1"/>
  <c r="E563" i="23"/>
  <c r="E566" i="23" l="1"/>
  <c r="G566" i="23" s="1"/>
  <c r="L566" i="23" s="1"/>
  <c r="E564" i="23"/>
  <c r="I564" i="23" s="1"/>
  <c r="E567" i="23"/>
  <c r="E570" i="23" l="1"/>
  <c r="G570" i="23" s="1"/>
  <c r="E568" i="23"/>
  <c r="I568" i="23" s="1"/>
  <c r="L568" i="23" s="1"/>
  <c r="L564" i="23"/>
  <c r="I575" i="23"/>
  <c r="L570" i="23" l="1"/>
  <c r="L575" i="23" s="1"/>
  <c r="G575" i="23"/>
  <c r="L576" i="23" s="1"/>
  <c r="L577" i="23" l="1"/>
  <c r="L578" i="23" s="1"/>
  <c r="L579" i="23" s="1"/>
  <c r="L580" i="23" s="1"/>
  <c r="L581" i="23" s="1"/>
  <c r="L582" i="23" s="1"/>
  <c r="L583" i="23" s="1"/>
  <c r="L584" i="23" s="1"/>
  <c r="L585" i="23" s="1"/>
  <c r="L586" i="23" s="1"/>
  <c r="L587" i="23" s="1"/>
  <c r="K5" i="23" s="1"/>
  <c r="K6" i="23" s="1"/>
  <c r="L68" i="55" l="1"/>
  <c r="L69" i="55" s="1"/>
  <c r="L70" i="55" s="1"/>
  <c r="L71" i="55" s="1"/>
  <c r="L72" i="55" s="1"/>
  <c r="L73" i="55" s="1"/>
  <c r="L74" i="55" s="1"/>
  <c r="K5" i="55" l="1"/>
  <c r="K6" i="55" s="1"/>
  <c r="D8" i="63"/>
  <c r="D13" i="63" s="1"/>
  <c r="D14" i="63" s="1"/>
  <c r="D15" i="63" s="1"/>
  <c r="C13" i="63"/>
  <c r="C14" i="63" s="1"/>
  <c r="C15" i="63" s="1"/>
</calcChain>
</file>

<file path=xl/sharedStrings.xml><?xml version="1.0" encoding="utf-8"?>
<sst xmlns="http://schemas.openxmlformats.org/spreadsheetml/2006/main" count="3414" uniqueCount="504">
  <si>
    <t>სახარჯთ. ღირებულება</t>
  </si>
  <si>
    <t>$</t>
  </si>
  <si>
    <t>#</t>
  </si>
  <si>
    <t>სულ</t>
  </si>
  <si>
    <t>მასალა</t>
  </si>
  <si>
    <t>ხელფასი</t>
  </si>
  <si>
    <t>ჯამი</t>
  </si>
  <si>
    <t>გრძ.მ</t>
  </si>
  <si>
    <t>შრომის დანახარჯები</t>
  </si>
  <si>
    <t>ცალი</t>
  </si>
  <si>
    <t>სხვა მანქანა</t>
  </si>
  <si>
    <t>მანქ/სთ</t>
  </si>
  <si>
    <t>მასალა:</t>
  </si>
  <si>
    <t>კგ</t>
  </si>
  <si>
    <t>სხვა მასალა</t>
  </si>
  <si>
    <t>ლარი</t>
  </si>
  <si>
    <r>
      <t>მ</t>
    </r>
    <r>
      <rPr>
        <sz val="10"/>
        <color theme="1"/>
        <rFont val="Calibri"/>
        <family val="2"/>
      </rPr>
      <t>²</t>
    </r>
  </si>
  <si>
    <t>ზედნადები ხარჯები</t>
  </si>
  <si>
    <t xml:space="preserve">გეგმიური დაგროვება </t>
  </si>
  <si>
    <t>დ.ღ.გ</t>
  </si>
  <si>
    <t>NN</t>
  </si>
  <si>
    <t>სამუშაოებისა და დანახარჯების დასახელება</t>
  </si>
  <si>
    <t>განზ.</t>
  </si>
  <si>
    <t>რაოდენობა</t>
  </si>
  <si>
    <t>მანქანა-მექანიზმები და ტრანსპორტი</t>
  </si>
  <si>
    <t>ნორმატი-
ვით ერთეულზე</t>
  </si>
  <si>
    <t>ერთ. ფასი</t>
  </si>
  <si>
    <t>მ³</t>
  </si>
  <si>
    <t>მ</t>
  </si>
  <si>
    <t>წყალი</t>
  </si>
  <si>
    <t>მ2</t>
  </si>
  <si>
    <t>პარკინგი</t>
  </si>
  <si>
    <t>პარკინგის იატაკის მოხეხვა მოპრიალება</t>
  </si>
  <si>
    <t>მ²</t>
  </si>
  <si>
    <t>საპრიალებელი ქვა</t>
  </si>
  <si>
    <t>ქვიშა-ცემენტის ხსნარი</t>
  </si>
  <si>
    <t>კერამოგრანიტის ფილების მოწყობა კიბის უჯრედში</t>
  </si>
  <si>
    <t>კერამოგრანიტის ფილა</t>
  </si>
  <si>
    <t>წებო ცემენტი</t>
  </si>
  <si>
    <t>ფუგა</t>
  </si>
  <si>
    <t xml:space="preserve">კერამოგრანიტის პლინტუსების მოწყობა </t>
  </si>
  <si>
    <t>კიბის უჯრეში მოჭმვის მოწყობა ქვიშა-ცემენტის ხსნარით სისქით 50მმ</t>
  </si>
  <si>
    <t>ზედაპირის დასამუშავებელი გრუნტი</t>
  </si>
  <si>
    <t>ლ</t>
  </si>
  <si>
    <t>ფასადის სპეციალური სალესი ფითხი</t>
  </si>
  <si>
    <t>კუთხოვანა ბადით</t>
  </si>
  <si>
    <t>მინაბოჭკოვანი ბადე</t>
  </si>
  <si>
    <t>დეკორატიული ბათქაშის გრუნტი</t>
  </si>
  <si>
    <t>დეკორატიული ბათქაში</t>
  </si>
  <si>
    <t>საღებავი ფასადის Caparol - ან ანალოგი</t>
  </si>
  <si>
    <t>სადარბაზოს კედლების დეკორატიული ლესვა ე.წ "მიუხენი"</t>
  </si>
  <si>
    <r>
      <t>მ</t>
    </r>
    <r>
      <rPr>
        <vertAlign val="superscript"/>
        <sz val="10"/>
        <rFont val="Calibri Light"/>
        <family val="2"/>
        <scheme val="major"/>
      </rPr>
      <t>2</t>
    </r>
  </si>
  <si>
    <t>სალესი აპარატი წარმადობით 1.0 - 2.5 მ³/სთ</t>
  </si>
  <si>
    <t>არმირების ბადე</t>
  </si>
  <si>
    <t>მოთუთიებული სანიშნულე პროფილი 35X35 მმ</t>
  </si>
  <si>
    <r>
      <t xml:space="preserve">კნაუფის ადჰეზიური დასაგრუნტი მასალა </t>
    </r>
    <r>
      <rPr>
        <sz val="10"/>
        <rFont val="Calibri Light"/>
        <family val="2"/>
        <scheme val="major"/>
      </rPr>
      <t>Knauf Superkontakt &amp; Betokontakt</t>
    </r>
  </si>
  <si>
    <t>Knauf Jetgips Ultra 40  თაბაშირის ბათქაში მანქანური დამუშავებისათვის</t>
  </si>
  <si>
    <t>კედლების შელესვა თაბაშირით მექანიზირებული მეთოდით</t>
  </si>
  <si>
    <t>პემზის ბლოკი 20x20x40</t>
  </si>
  <si>
    <r>
      <t>მ</t>
    </r>
    <r>
      <rPr>
        <b/>
        <sz val="11"/>
        <rFont val="Calibri"/>
        <family val="2"/>
      </rPr>
      <t>²</t>
    </r>
  </si>
  <si>
    <t>მანქანა-მექანიზმები</t>
  </si>
  <si>
    <t>საღებავი (Plastiroute)</t>
  </si>
  <si>
    <t>ემალის სპრეი</t>
  </si>
  <si>
    <t>პარკინგის დახაზვა</t>
  </si>
  <si>
    <t>კომერციული ფართები</t>
  </si>
  <si>
    <t>ფხვნილი (მოსაპრიალებელი)</t>
  </si>
  <si>
    <t>ბინებში მოჭმვის მოწყობა ქვიშა-ცემენტის ხსნარით სისქით 50მმ</t>
  </si>
  <si>
    <t>აივნებზე მოჭმვის მოწყობა ქვიშა-ცემენტის ხსნარით სისქით 105მმ</t>
  </si>
  <si>
    <t>დერეფნებში მოჭმვის მოწყობა ქვიშა-ცემენტის ხსნარით სისქით 105მმ</t>
  </si>
  <si>
    <t>ბინებში იატაკზე დამათბუნებელი ფენის მოწყობა პემზით</t>
  </si>
  <si>
    <t>პემზა</t>
  </si>
  <si>
    <t>კერამოგრანიტის ფილების მოწყობა აივნებზე</t>
  </si>
  <si>
    <t>კერამოგრანიტის ფილების მოწყობა დერეფნებსა და კიბის უჯრედში</t>
  </si>
  <si>
    <t>იატაკებზე ჰიდროსაიზოლაციო ფენის მოწყობა</t>
  </si>
  <si>
    <t>დიფუზიური მემბრანა (Technonicol alpha vent)</t>
  </si>
  <si>
    <t>თაბაშირ-მუყაოს ფილა</t>
  </si>
  <si>
    <t>პროფილი CD 0.6მმ</t>
  </si>
  <si>
    <t>პროფილი UD 0.6მმ</t>
  </si>
  <si>
    <t xml:space="preserve">საკიდი პირდაპირი 60/27 </t>
  </si>
  <si>
    <t>განჭედი დუბელი 6*35</t>
  </si>
  <si>
    <t xml:space="preserve">სჭვალი LN 9 </t>
  </si>
  <si>
    <t>სჭვალი TN 25</t>
  </si>
  <si>
    <t>სჭვალი TN 35</t>
  </si>
  <si>
    <t>საიზოლაციო ლენტი</t>
  </si>
  <si>
    <t xml:space="preserve">დამცავი კუთხოვანა </t>
  </si>
  <si>
    <t>კედლების შეფუთვა თაბაშირ-მუყაოს ფილებით</t>
  </si>
  <si>
    <t>ქვაბამბა სისქით 5სმ (მაღალი სიმკვრივის)</t>
  </si>
  <si>
    <t>ბინებში ტიხრების ლესვა თაბაშირით მექანიზირებული მეთოდით</t>
  </si>
  <si>
    <t>მოაჯირების მოწყობა კიბის უჯრედში</t>
  </si>
  <si>
    <t>ლითონის მოაჯირი</t>
  </si>
  <si>
    <t>სახელურის მოწყობა კიბის უჯრედში</t>
  </si>
  <si>
    <t>ლითონის სახელური</t>
  </si>
  <si>
    <t>ბინაში შესასვლელი ლითონის კარებების მოწყობა</t>
  </si>
  <si>
    <t>ლითონის კარი</t>
  </si>
  <si>
    <t>კიბის უჯრედში სახანძრო (ანტიპანიკური) კარებების მოწყობა</t>
  </si>
  <si>
    <t>სახანძრო კარი</t>
  </si>
  <si>
    <t>ალუმინის ვიტრაჟების მოწყობა</t>
  </si>
  <si>
    <t>ალუმინის ვიტრაჟი</t>
  </si>
  <si>
    <t>ალუმინის კარ-ფანჯრის მოწყობა</t>
  </si>
  <si>
    <t>ალუმინის კარ-ფანჯრა</t>
  </si>
  <si>
    <t>სახურავი</t>
  </si>
  <si>
    <t>ფასადი</t>
  </si>
  <si>
    <t>ბეტონი B15</t>
  </si>
  <si>
    <t>ბეტონის საფარის მოწყობა სისქით 10სმ მოპრიალებით</t>
  </si>
  <si>
    <t>მოჭმვის მოწყობა ქვიშა-ცემენტის ხსნარით სისქით 50მმ</t>
  </si>
  <si>
    <t>კედლების დეკორატიული ლესვა ე.წ "მიუხენი"</t>
  </si>
  <si>
    <t>იატაკზე დამათბუნებელი ფენის მოწყობა პემზით</t>
  </si>
  <si>
    <t>ლინოკრომი I ფენა</t>
  </si>
  <si>
    <t>სახურავზე ჰიდროსაიზოლაციო ფენის მოწყობა</t>
  </si>
  <si>
    <t>საინჟინრო სისტემები</t>
  </si>
  <si>
    <t>საინჟინრო სისტემების მოწყობა</t>
  </si>
  <si>
    <t>კომპ.</t>
  </si>
  <si>
    <t>ბეტონის იატაკის მოწყობა სისქით 100მმ</t>
  </si>
  <si>
    <t>შენადუღები ბადე</t>
  </si>
  <si>
    <t>სახურავზე დამათბუნებელი ფენის მოწყობა XPS-ით</t>
  </si>
  <si>
    <t>XPS-ს ფილა სისქით 50მმ+50მმ</t>
  </si>
  <si>
    <t xml:space="preserve">ბეტონი </t>
  </si>
  <si>
    <t>ბეტონის საფარის მოწყობა სისქით 100მმ</t>
  </si>
  <si>
    <t>ბიტუმის მასტიკა</t>
  </si>
  <si>
    <t>აირი</t>
  </si>
  <si>
    <t>ჰიდოიზოლაციის მოწყობა 1 ფენა</t>
  </si>
  <si>
    <t>ჰიდროიზოლაციის მოსაწყობად ქვიშის ფენის დაგება</t>
  </si>
  <si>
    <t>ქვიშა</t>
  </si>
  <si>
    <t>ჰიდროიზოლაცია ცხელი მეთოდის დასატანი პოლიურია</t>
  </si>
  <si>
    <t>პოლიურია</t>
  </si>
  <si>
    <t>პოლიურიაზე დამცავი ლაქის მოწყობა</t>
  </si>
  <si>
    <t>ალუმინის კომპოზციტური პანელი</t>
  </si>
  <si>
    <t>კარკასი</t>
  </si>
  <si>
    <t>ტრანსპორტირება</t>
  </si>
  <si>
    <t>გაუთვალისწინებელი ხარჯები</t>
  </si>
  <si>
    <t>შახტა (სხვადასხვა)</t>
  </si>
  <si>
    <t>შახტების ხმის იზოლაციის მოწყობა</t>
  </si>
  <si>
    <t>ქანობების მისაცემად  პემზის საფარის მოწყობა</t>
  </si>
  <si>
    <t>სანიაღვრე არხების მოწყობა აივნებზე (ცხაურით)</t>
  </si>
  <si>
    <t>პლასტმასის სანიაღვრე არხი (ცხაურით)</t>
  </si>
  <si>
    <t>სანიაღვრე არხების მოწყობა პარკინგებზე (ცხაურით)</t>
  </si>
  <si>
    <t>ლითონის სანიაღვრე არხი (ცხაურით)</t>
  </si>
  <si>
    <t>წერტილოვანი სანიაღვრეების მოწყობა პარკინგებზე</t>
  </si>
  <si>
    <t>ცემენტი</t>
  </si>
  <si>
    <t>სახურავზე სავენტილაციო შახდების გადახურვა თუნუქის ქუდით.</t>
  </si>
  <si>
    <t>თუნუქის ქუდი</t>
  </si>
  <si>
    <t>პარკინგზე ლითონის მილით ბარიერების მოწყობა დამუშავებით და შეღებვით</t>
  </si>
  <si>
    <t>საღებავი</t>
  </si>
  <si>
    <t>ლითონის მილი</t>
  </si>
  <si>
    <t>ემალის ლაქი დამცავი</t>
  </si>
  <si>
    <t>ლითონის ფირფიტა ანკერებით 30*30*5+ან.დ=12-8ც</t>
  </si>
  <si>
    <r>
      <t xml:space="preserve">მრავალბინიანი საცხოვრებელი სახლის მოპირკეთების </t>
    </r>
    <r>
      <rPr>
        <b/>
        <sz val="12"/>
        <color rgb="FFFF0000"/>
        <rFont val="Calibri Light"/>
        <family val="2"/>
        <scheme val="major"/>
      </rPr>
      <t xml:space="preserve"> საორიენტაციო </t>
    </r>
    <r>
      <rPr>
        <b/>
        <sz val="12"/>
        <rFont val="Calibri Light"/>
        <family val="1"/>
        <scheme val="major"/>
      </rPr>
      <t xml:space="preserve"> ხარჯთაღრიცხვა</t>
    </r>
  </si>
  <si>
    <t>პარკინგზე სახანძრო (ანტიპანიკური) კარებების მოწყობა</t>
  </si>
  <si>
    <t>კერამოგრანიტის ფილების მოწყობა საზაფხულო ფართში</t>
  </si>
  <si>
    <t>კედლების შეფუთვა  ნესტგამძლე თაბაშირ-მუყაოს ფილებით</t>
  </si>
  <si>
    <t>თაბაშირ-მუყაოს ფილა ნესტგამძლე</t>
  </si>
  <si>
    <t>სადარბაზოს და კიბის უჯრედის კედლების დეკორატიული ლესვა ე.წ "მიუხენი"</t>
  </si>
  <si>
    <t xml:space="preserve"> მეორე სინათლის კედლის  თავების და პარაპეტის შეფუთვა თუნუქით</t>
  </si>
  <si>
    <t>ლითონის მოაჯირის მოწყობა აივნებზე</t>
  </si>
  <si>
    <t>დროებითი შენობა - ნაგებობები და უსაფრთხოება</t>
  </si>
  <si>
    <t>ნიშნული</t>
  </si>
  <si>
    <t>დერ</t>
  </si>
  <si>
    <t>ლიფტი 21 გაჩერებაზე</t>
  </si>
  <si>
    <t>ლიფტი 2 გაჩერებაზე</t>
  </si>
  <si>
    <t>კერამოგრანიტის ფილების მოწყობა კიბის უჯრედში და დერეფანში</t>
  </si>
  <si>
    <t>▼5.40-▼28.40 (7 სართული)</t>
  </si>
  <si>
    <t>▼28.40-▼64.80 (11 სართული)</t>
  </si>
  <si>
    <t>მინის  მოაჯირის მოწყობა აივნებზე</t>
  </si>
  <si>
    <t>მინის მოაჯირი</t>
  </si>
  <si>
    <t>აივნის ჭერების , პარაპეტისა   კედლების   დეკორატიული ლესვა ე.წ "მიუხენი"</t>
  </si>
  <si>
    <t>პირველი შენობა 18 სართული</t>
  </si>
  <si>
    <t xml:space="preserve">დასახელება </t>
  </si>
  <si>
    <t>სისქე SM.</t>
  </si>
  <si>
    <t>სიმაღლე</t>
  </si>
  <si>
    <t>კედლის სიგრძე</t>
  </si>
  <si>
    <r>
      <t>მ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</si>
  <si>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t xml:space="preserve">არმ. კედელი </t>
  </si>
  <si>
    <t>კედელი</t>
  </si>
  <si>
    <t>მეორე შენობა 7 სართული</t>
  </si>
  <si>
    <r>
      <t>მ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</si>
  <si>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0.00</t>
  </si>
  <si>
    <t xml:space="preserve">ბინა </t>
  </si>
  <si>
    <t>აივ</t>
  </si>
  <si>
    <t>კიბე</t>
  </si>
  <si>
    <t>სახ</t>
  </si>
  <si>
    <t>2.3/1 92 წთ</t>
  </si>
  <si>
    <t>.8-20</t>
  </si>
  <si>
    <t>.5/7</t>
  </si>
  <si>
    <t>.5/5</t>
  </si>
  <si>
    <t>ფასადის მოპირკეთება ტერაკოტას ფილებით</t>
  </si>
  <si>
    <t>ტერაკოტა</t>
  </si>
  <si>
    <t>მიმმართველი პროფილი მზიდი</t>
  </si>
  <si>
    <t>გრძ/მ</t>
  </si>
  <si>
    <t>სამაგრი კრონშტეინი AD-31180</t>
  </si>
  <si>
    <t>თერმოგამყოფი TS 031</t>
  </si>
  <si>
    <t>კასეტის კუთხის შემკრავი</t>
  </si>
  <si>
    <t>ალუმინის პროფილი A-08</t>
  </si>
  <si>
    <t>ანკერები</t>
  </si>
  <si>
    <t>ორთქლსაიზოლაციო მემბრანა , ქარის და წყალდამცავი , ცალმხრივი მოქმედების</t>
  </si>
  <si>
    <t>იზოლაციის სამაგრი ლურსმანი</t>
  </si>
  <si>
    <t>ალუმინის კუთხოვანა (20x40x1,2)</t>
  </si>
  <si>
    <t>მოქლონი</t>
  </si>
  <si>
    <t xml:space="preserve">თვითმჭრელი სჭვალი </t>
  </si>
  <si>
    <r>
      <t xml:space="preserve">საჭრელი ქვა </t>
    </r>
    <r>
      <rPr>
        <sz val="10"/>
        <color theme="1"/>
        <rFont val="Calibri"/>
        <family val="2"/>
      </rPr>
      <t>Ø125</t>
    </r>
  </si>
  <si>
    <t>მეტალის ბურღი</t>
  </si>
  <si>
    <t>ბურღი ბეტონის</t>
  </si>
  <si>
    <t>სილიკონი (310 მლ, ქილებში)</t>
  </si>
  <si>
    <t>კერამიკული ფილა (კომპლექტში კარკასით)</t>
  </si>
  <si>
    <t>ასაწყობი პადელ კორტის მოწყობა</t>
  </si>
  <si>
    <t>ტემპერატურული ნაკერის დამუშავება</t>
  </si>
  <si>
    <t xml:space="preserve"> ჰიდროსაიზოლაციო სამუშაოები</t>
  </si>
  <si>
    <t>შენობის წინ  ტერასის მოწყობა</t>
  </si>
  <si>
    <t>საიზოლაციო მასალა</t>
  </si>
  <si>
    <t>ფასადის გარე კიბის  შეფუთვა ლითონის ბადით</t>
  </si>
  <si>
    <t>დერეფნებში ალუმინის ღია უჯრედოცანი ჭერის მოწყობა, კარკასით</t>
  </si>
  <si>
    <t>ალუმინის ფროფილები კარკასით</t>
  </si>
  <si>
    <t>ქვაბამბა სისქით 10 სმ</t>
  </si>
  <si>
    <t>ფასადის კედლების  დათბუნება მაღალი სიმკვრივის ქვაბამბით სისქით 10 სმ</t>
  </si>
  <si>
    <t>ქ.თბილისში, მაიაკოვსკის ქუჩა #3 "შანტანი"</t>
  </si>
  <si>
    <t>ორკომპონენტიანი, ელასტიური ცემენტისა და აკრილის ბაზაზე დაფუძნებული ჰიდროიზოლაციის ზედაპირი 3 სმ, 2 ფენა</t>
  </si>
  <si>
    <t>XPS-ს ფილა სისქით 50მმ</t>
  </si>
  <si>
    <t>დაციტის ფილა სისქით 30 სმ</t>
  </si>
  <si>
    <t>FL-04 (I-IV დერეფნები)</t>
  </si>
  <si>
    <r>
      <t>FL-01</t>
    </r>
    <r>
      <rPr>
        <b/>
        <vertAlign val="superscript"/>
        <sz val="10"/>
        <color theme="1"/>
        <rFont val="Calibri Light"/>
        <family val="2"/>
        <scheme val="major"/>
      </rPr>
      <t>/</t>
    </r>
    <r>
      <rPr>
        <b/>
        <sz val="10"/>
        <color theme="1"/>
        <rFont val="Calibri Light"/>
        <family val="2"/>
        <scheme val="major"/>
      </rPr>
      <t xml:space="preserve"> (რეზერვუარი, ლიფტის სამანქანო ფილა)</t>
    </r>
  </si>
  <si>
    <t xml:space="preserve">იატაკებზე ორკომპონენტიანი ჰიდროიზოლაციის ფენის მოწყობა </t>
  </si>
  <si>
    <t xml:space="preserve">დათბუნების მოწყობა XPS-ფილებით 50მმ </t>
  </si>
  <si>
    <r>
      <t>FL-02</t>
    </r>
    <r>
      <rPr>
        <b/>
        <vertAlign val="superscript"/>
        <sz val="10"/>
        <color theme="1"/>
        <rFont val="Calibri Light"/>
        <family val="2"/>
        <scheme val="major"/>
      </rPr>
      <t>/</t>
    </r>
    <r>
      <rPr>
        <b/>
        <sz val="10"/>
        <color theme="1"/>
        <rFont val="Calibri Light"/>
        <family val="2"/>
        <scheme val="major"/>
      </rPr>
      <t xml:space="preserve"> (ჰოლი)</t>
    </r>
  </si>
  <si>
    <t xml:space="preserve">დათბუნების მოწყობა XPS-ფილებით 20მმ </t>
  </si>
  <si>
    <t>XPS-ს ფილა სისქით 20მმ</t>
  </si>
  <si>
    <t xml:space="preserve">კერამოგრანიტის ფილების მოწყობა </t>
  </si>
  <si>
    <t>FL-05 ( II-IV ბინები)</t>
  </si>
  <si>
    <t>ჰიდრო-ხმის საიზოლაციო მასალა (10მ*1მ*4.5მმ) 10 მ2(ტექნო სამუს)</t>
  </si>
  <si>
    <t xml:space="preserve">მოჭმვის მოწყობა ქვიშა-ცემენტის ხსნარით სისქით 50მმ </t>
  </si>
  <si>
    <t>ტ</t>
  </si>
  <si>
    <t>კვ.მ</t>
  </si>
  <si>
    <t>სხვა მასალები</t>
  </si>
  <si>
    <t>ცელოფანი</t>
  </si>
  <si>
    <t>FL-06 ( V დერეფანი)</t>
  </si>
  <si>
    <t>FL-07 ( V ბინები)</t>
  </si>
  <si>
    <t xml:space="preserve">ბაზალტის ფილების მოწყობა </t>
  </si>
  <si>
    <t xml:space="preserve">კომპლ. </t>
  </si>
  <si>
    <r>
      <t>მ</t>
    </r>
    <r>
      <rPr>
        <vertAlign val="superscript"/>
        <sz val="10"/>
        <color theme="1"/>
        <rFont val="AcadNusx"/>
      </rPr>
      <t>2</t>
    </r>
    <r>
      <rPr>
        <sz val="10"/>
        <color theme="1"/>
        <rFont val="AcadNusx"/>
      </rPr>
      <t>²</t>
    </r>
  </si>
  <si>
    <t>მანქანები</t>
  </si>
  <si>
    <t>საფითხი</t>
  </si>
  <si>
    <t>ქ.თბილისში,  "ბარე"</t>
  </si>
  <si>
    <t xml:space="preserve">მოჭმვის მოწყობა ქვიშა-ცემენტის ხსნარით სისქით 70მმ </t>
  </si>
  <si>
    <t>FL-11</t>
  </si>
  <si>
    <t>აგურის ფილა 20მმ</t>
  </si>
  <si>
    <t xml:space="preserve">შოვების შემავსებელის ფერი  RAL 7037       </t>
  </si>
  <si>
    <t>ლიტრი</t>
  </si>
  <si>
    <t>ალუმინის კომპოზიტური პანელები კარკასით</t>
  </si>
  <si>
    <t>A1 კლასის, არაალებადი ალუმინის კომპოზიტური პანელების 4მმ მოწყობა</t>
  </si>
  <si>
    <t>ქარის ბარიერის მოწყობა</t>
  </si>
  <si>
    <t xml:space="preserve">ქარსაფარი მემბრანა </t>
  </si>
  <si>
    <t>არმსტრონგის AMF ფილა</t>
  </si>
  <si>
    <t>AMF პროფილი 38*600</t>
  </si>
  <si>
    <t>AMF პროფილი 38*3600</t>
  </si>
  <si>
    <t>AMF პროფილი 38*1200</t>
  </si>
  <si>
    <t>რკინის დუბელ-ანკერი 8მმ</t>
  </si>
  <si>
    <t>ორმაგი ზამბარა</t>
  </si>
  <si>
    <t>მავთული ყულფით 200მმ</t>
  </si>
  <si>
    <t>CL-02, აივნები და თაღები</t>
  </si>
  <si>
    <t>CL-01. დერეფნები</t>
  </si>
  <si>
    <t xml:space="preserve">დათბუნების მოწყობა XPS-ფილებით 40მმ </t>
  </si>
  <si>
    <t xml:space="preserve">აგურის ფილების მოწყობა </t>
  </si>
  <si>
    <t>უფერო ლაქი</t>
  </si>
  <si>
    <t>CL-05 რეზერვუარი</t>
  </si>
  <si>
    <t xml:space="preserve">ალუმინის კარკასი 40x40x3,დამჭერი მექანიზმებითა, კრონშტეინებით და ფიქსატორებით </t>
  </si>
  <si>
    <t xml:space="preserve">ორთქლსაიზოლაციო მემბრანა </t>
  </si>
  <si>
    <t>ანკერ-ბოლტები</t>
  </si>
  <si>
    <t>თაბაშირ-მუყაოს ფილა ცეცხლმედეგი</t>
  </si>
  <si>
    <r>
      <t>მრავალბინიანი საცხოვრებელი სახლის არქიტექტურული ნაწილის</t>
    </r>
    <r>
      <rPr>
        <b/>
        <sz val="12"/>
        <color rgb="FFFF0000"/>
        <rFont val="Calibri Light"/>
        <family val="2"/>
        <scheme val="major"/>
      </rPr>
      <t xml:space="preserve"> </t>
    </r>
    <r>
      <rPr>
        <b/>
        <sz val="12"/>
        <rFont val="Calibri Light"/>
        <family val="1"/>
        <scheme val="major"/>
      </rPr>
      <t xml:space="preserve"> ხარჯთაღრიცხვა</t>
    </r>
  </si>
  <si>
    <t>მრავალბინიანი საცხოვრებელი სახლის არქიტექტურული ნაწილის  საორიენტაციო ხარჯთაღრიცხვა</t>
  </si>
  <si>
    <r>
      <t>მ</t>
    </r>
    <r>
      <rPr>
        <vertAlign val="superscript"/>
        <sz val="10"/>
        <color theme="1"/>
        <rFont val="Calibri Light"/>
        <family val="2"/>
        <scheme val="major"/>
      </rPr>
      <t>2</t>
    </r>
  </si>
  <si>
    <t>ქვიშა-ცემენტის ხსნარი მჭიმი</t>
  </si>
  <si>
    <t>იატაკებზე ორთქლსაიზოლაციო ფენის მოწყობა</t>
  </si>
  <si>
    <t>არმსტრონგის ფილების  მოწყობა ჭერზე, ჭერის პანელი ზომით 600x600  (CL-01)</t>
  </si>
  <si>
    <t xml:space="preserve"> მოჭმვის მოწყობა ქვიშა-ცემენტის ხსნარით სისქით 61მმ </t>
  </si>
  <si>
    <t>ბეტონი B25</t>
  </si>
  <si>
    <t>გრუნტი</t>
  </si>
  <si>
    <t>კერამოგრანიტის ფილა სისქით 10 მმ, ზომით 500X500</t>
  </si>
  <si>
    <t>FL-03 (კომერციულის ბაქაბი, ვიტრაჟის წინა მოპირკეთება)</t>
  </si>
  <si>
    <t>დაციტის ფილების მოწყობა</t>
  </si>
  <si>
    <t xml:space="preserve"> მოჭმვის მოწყობა ქვიშა-ცემენტის ხსნარით სისქით 128მმ </t>
  </si>
  <si>
    <r>
      <t>FL-04</t>
    </r>
    <r>
      <rPr>
        <b/>
        <vertAlign val="superscript"/>
        <sz val="10"/>
        <color theme="1"/>
        <rFont val="Calibri Light"/>
        <family val="2"/>
        <scheme val="major"/>
      </rPr>
      <t>/</t>
    </r>
    <r>
      <rPr>
        <b/>
        <sz val="10"/>
        <color theme="1"/>
        <rFont val="Calibri Light"/>
        <family val="2"/>
        <scheme val="major"/>
      </rPr>
      <t xml:space="preserve"> (II საქვაბე)</t>
    </r>
  </si>
  <si>
    <t>გრუნტით დამუშავება</t>
  </si>
  <si>
    <t>მოჭმვის მოწყობა ქვიშა-ცემენტის ხსნარით სისქით 54-59მმ ქანობით</t>
  </si>
  <si>
    <r>
      <t>ორთქლის ბარიერის მემბრა, სიმკვრივე  70გ/მ</t>
    </r>
    <r>
      <rPr>
        <vertAlign val="superscript"/>
        <sz val="10"/>
        <color theme="1"/>
        <rFont val="Calibri Light"/>
        <family val="2"/>
        <scheme val="major"/>
      </rPr>
      <t>2</t>
    </r>
  </si>
  <si>
    <t>XPS-ს ფილა სისქით 30მმ</t>
  </si>
  <si>
    <t xml:space="preserve">დათბუნების მოწყობა XPS-ფილებით 30მმ </t>
  </si>
  <si>
    <t xml:space="preserve"> მოჭმვის მოწყობა ქვიშა-ცემენტის ხსნარით სისქით 51მმ </t>
  </si>
  <si>
    <t xml:space="preserve">თვითსწორებადის ფენა 10მმ  </t>
  </si>
  <si>
    <r>
      <t>FL-05</t>
    </r>
    <r>
      <rPr>
        <b/>
        <vertAlign val="superscript"/>
        <sz val="10"/>
        <color theme="1"/>
        <rFont val="Calibri Light"/>
        <family val="2"/>
        <scheme val="major"/>
      </rPr>
      <t>/</t>
    </r>
    <r>
      <rPr>
        <b/>
        <sz val="10"/>
        <color theme="1"/>
        <rFont val="Calibri Light"/>
        <family val="2"/>
        <scheme val="major"/>
      </rPr>
      <t xml:space="preserve"> ( სანკვანძი)</t>
    </r>
  </si>
  <si>
    <t>XPS-ს ფილა სისქით 40მმ</t>
  </si>
  <si>
    <t>თვითსწორებადი ფენა 10 მმ</t>
  </si>
  <si>
    <t>FL-08 ( I ტერასა)</t>
  </si>
  <si>
    <t>მოჭმვის მოწყობა ქვიშა-ცემენტის ხსნარით სისქით 100-35 მმ  ქანობით</t>
  </si>
  <si>
    <t>გეოტექსტილი</t>
  </si>
  <si>
    <t xml:space="preserve">მოჭმვის მოწყობა ქვიშა-ცემენტის ხსნარით სისქით 70 მმ </t>
  </si>
  <si>
    <t>ბაზალტის ფილების მოწყობა სისქით 20მმ, 500x500 მმ</t>
  </si>
  <si>
    <t>იატაკებზე ჰიდრო-ხმის საიზოლაციო ფენის მოწყობა</t>
  </si>
  <si>
    <t xml:space="preserve">მოჭმვის მოწყობა ქვიშა-ცემენტის ხსნარით სისქით 59მმ </t>
  </si>
  <si>
    <t>FL-10 (II-IV კუთხის აივნები)</t>
  </si>
  <si>
    <t xml:space="preserve">დამცავი ფენილის მოწყობა სისქით 5 მმ ფენის მოწყობა </t>
  </si>
  <si>
    <t>კერამოგრანიტის ფილა სისქით 10 მმ 500x500</t>
  </si>
  <si>
    <t>FL-12 (II-IV აივნები)</t>
  </si>
  <si>
    <t xml:space="preserve">მოჭმვის მოწყობა ქვიშა-ცემენტის ხსნარით სისქით 123მმ-ცვალებადი </t>
  </si>
  <si>
    <t>FL-13 (II-IV ვიტრაჟის ბაქნები)</t>
  </si>
  <si>
    <t>ფანერის სისქით 10მმ მოწყობა ლითონის ხრახნებით</t>
  </si>
  <si>
    <t>სამშენებლო ფანერა სისქით 10მმ ლითონის ხრახნებით კომპ</t>
  </si>
  <si>
    <t>დერეფნის  პლინტუსების მოწყობა კერამიკული ფილა 10 მმ, წებოცემენტი 5 მმ</t>
  </si>
  <si>
    <t>PL 01 (დერეფნის პლინტუსები)</t>
  </si>
  <si>
    <t>ელასტიური წებო ცემენტი</t>
  </si>
  <si>
    <t>ალუმინის კომპოზიტური  პანელები  4 მმ RAL7016</t>
  </si>
  <si>
    <t>გამჭედი დუბელი 6*35</t>
  </si>
  <si>
    <t>კნაუფის პროფილის, ხმის საიზოლაციო ლენტი PE 75 001-08-11 მმ 25 მ</t>
  </si>
  <si>
    <t>თაბაშირ-მუყაოს ფილა 12.5მმ</t>
  </si>
  <si>
    <t>ქარის ბარიერი</t>
  </si>
  <si>
    <t>საფასადე ფილა (GUARDEX)</t>
  </si>
  <si>
    <t xml:space="preserve">ბეტონის ბორტის მოწყობა </t>
  </si>
  <si>
    <t>საყალიბე სისტემა</t>
  </si>
  <si>
    <t>არმატურა А240С  Ø=8მმ</t>
  </si>
  <si>
    <t>არმატურა А500С Ø=12მმ</t>
  </si>
  <si>
    <t>ლითონის მოაჯირის მოწყობა (RL-01)</t>
  </si>
  <si>
    <t>ზოლოვანა 50*10 მმ</t>
  </si>
  <si>
    <t>მრგვალი ღერო 150მმ</t>
  </si>
  <si>
    <t>ფოლადის ფრიფიტა 150*100*100</t>
  </si>
  <si>
    <r>
      <t>ლითონის მოაჯირის მოწყობა (RL-01</t>
    </r>
    <r>
      <rPr>
        <b/>
        <vertAlign val="superscript"/>
        <sz val="10"/>
        <rFont val="Calibri Light"/>
        <family val="2"/>
        <scheme val="major"/>
      </rPr>
      <t>/</t>
    </r>
    <r>
      <rPr>
        <b/>
        <sz val="10"/>
        <rFont val="Calibri Light"/>
        <family val="2"/>
        <scheme val="major"/>
      </rPr>
      <t>)</t>
    </r>
  </si>
  <si>
    <t>ლითონის მოაჯირის მოწყობა (RL-02)</t>
  </si>
  <si>
    <t>შუშის მოაჯირი ლამექსი 8+8მმ გამჭვირვალე, ალუმინის სახელური ral 7016, შუშის დამჭერი ლითონის სამაგრი (RL-03)</t>
  </si>
  <si>
    <t>ლითონის ფურცელი კუთხოვანა220*220*10 მმ</t>
  </si>
  <si>
    <t>მოაჯირის სამაგრი ლითონის ფურცელი 345*150*50მმ</t>
  </si>
  <si>
    <t>ზოლოვანა 50*10მმ</t>
  </si>
  <si>
    <t>წებო ცემენტი ყინვაგამძლე სიკა</t>
  </si>
  <si>
    <t xml:space="preserve">ჯერ არ ვიცით რა ფილა იქნება, შესაბამისად ფასი მოვიძიე ინტერნეტში </t>
  </si>
  <si>
    <t>ორთქლის ბარიერის მემბრა, სიმკვრივე  70გ/მ2</t>
  </si>
  <si>
    <t>ბაზალტის  ფილა 20 სმ 500*500</t>
  </si>
  <si>
    <t>კედლების შეფუთვა თაბაშირ-მუყაოს ფილებით, დათბუნებით (WL-05) (ვიტრაჟის ჩამკეტი კედელი. (ზღუდარა))</t>
  </si>
  <si>
    <t xml:space="preserve">შველერი 100x50მმ </t>
  </si>
  <si>
    <t>Knauf Jetgips Ultra 40  თაბაშირის ბათქაში მანქანური დამუშავებისათვის (გიპერი)</t>
  </si>
  <si>
    <t>წებო ცემენტი სიკა</t>
  </si>
  <si>
    <t>დათბუნება ქვაბამბით</t>
  </si>
  <si>
    <r>
      <t>ქვაბამბა სისქით 20მმ 120 კგ/მ</t>
    </r>
    <r>
      <rPr>
        <vertAlign val="superscript"/>
        <sz val="10"/>
        <color theme="1"/>
        <rFont val="Calibri Light"/>
        <family val="2"/>
        <scheme val="major"/>
      </rPr>
      <t>3</t>
    </r>
  </si>
  <si>
    <r>
      <t>ქვაბამბა სისქით 50მმ, 120კგ/მ</t>
    </r>
    <r>
      <rPr>
        <vertAlign val="superscript"/>
        <sz val="10"/>
        <color theme="1"/>
        <rFont val="Calibri Light"/>
        <family val="2"/>
        <scheme val="major"/>
      </rPr>
      <t>3</t>
    </r>
  </si>
  <si>
    <r>
      <t>ქვაბამბა სისქით 40მმ 120 კგ/მ</t>
    </r>
    <r>
      <rPr>
        <vertAlign val="superscript"/>
        <sz val="10"/>
        <color theme="1"/>
        <rFont val="Calibri Light"/>
        <family val="2"/>
        <scheme val="major"/>
      </rPr>
      <t>3</t>
    </r>
  </si>
  <si>
    <t>ყინვაგამძლე წებოცემენტი 3სმ</t>
  </si>
  <si>
    <t>ქვაბამბის ყინვაგამძლე წებო ცემენტით დამუშავება მაარმირებელი ბადით</t>
  </si>
  <si>
    <t>კვ.მ.</t>
  </si>
  <si>
    <r>
      <t>CL-02</t>
    </r>
    <r>
      <rPr>
        <b/>
        <vertAlign val="superscript"/>
        <sz val="10"/>
        <color theme="1"/>
        <rFont val="Calibri Light"/>
        <family val="2"/>
        <scheme val="major"/>
      </rPr>
      <t>/</t>
    </r>
    <r>
      <rPr>
        <b/>
        <sz val="10"/>
        <color theme="1"/>
        <rFont val="Calibri Light"/>
        <family val="2"/>
        <scheme val="major"/>
      </rPr>
      <t>, II-IV ჭერი</t>
    </r>
  </si>
  <si>
    <r>
      <t>მ</t>
    </r>
    <r>
      <rPr>
        <vertAlign val="superscript"/>
        <sz val="10"/>
        <rFont val="Calibri Light"/>
        <family val="2"/>
        <scheme val="major"/>
      </rPr>
      <t>3</t>
    </r>
  </si>
  <si>
    <t xml:space="preserve">რეზერვუარის ჰიდროსაიზოლაციო სამუშაოები </t>
  </si>
  <si>
    <t>კედლების წყობა პემზის ბლოკით სისქით 200მმ</t>
  </si>
  <si>
    <t>პირობითი მოცულობა</t>
  </si>
  <si>
    <t>სხვა მანქანები</t>
  </si>
  <si>
    <t>ქვიშა-ცემენტის ხსნარი წყობის</t>
  </si>
  <si>
    <t>კუბ.მ</t>
  </si>
  <si>
    <t>პემზის ბლოკი 39*19*19სმ</t>
  </si>
  <si>
    <t>კედლების წყობა პემზის ბლოკით სისქით 150მმ</t>
  </si>
  <si>
    <t>პემზის ბლოკი 39*15*19სმ</t>
  </si>
  <si>
    <t>კედლების წყობა პემზის ბლოკით სისქით 100მმ</t>
  </si>
  <si>
    <t>პემზის ბლოკი 39*10*19სმ</t>
  </si>
  <si>
    <t>კუბ.მ.</t>
  </si>
  <si>
    <t>ქ.თბილისში,  მრავალბინიანი სახვოვრებელი სახლი, ლომაურის ქ.#3-ის მიმდებარედ</t>
  </si>
  <si>
    <t>კრებსითი ხარჯთაღრიცხვა</t>
  </si>
  <si>
    <t>N</t>
  </si>
  <si>
    <t>სამშენებლო სამუშაოები</t>
  </si>
  <si>
    <t>ღირებულება (ლარი)</t>
  </si>
  <si>
    <t>ღირებულება (აშშ დოლარი)</t>
  </si>
  <si>
    <t>კედლების მოწყობა</t>
  </si>
  <si>
    <t>იატაკის მოწყობა</t>
  </si>
  <si>
    <t>ჭერის მოწყობა</t>
  </si>
  <si>
    <t>კარებების მოწყობა</t>
  </si>
  <si>
    <t>პროფილი CW 75*50</t>
  </si>
  <si>
    <t>კედლების შეფუთვა თაბაშირ-მუყაოს ფილებით, დათბუნებით (WL-04)</t>
  </si>
  <si>
    <t>ვიტრაჟის დასრულება თაბაშირ-მუყაოს ფილებით, დათბუნებით (WL-06)</t>
  </si>
  <si>
    <t>პროფილი CW 70*50</t>
  </si>
  <si>
    <t>კარ-ფანჯრების ფერდობების (ატკოსების) შელესვა</t>
  </si>
  <si>
    <t>ლითონის კარი საკეტებით და მოწყობილობებით, 800X2200. დ-03</t>
  </si>
  <si>
    <t>ლითონის კარი საკეტებით და მოწყობილობებით, 4500X2580 ცეცხლმედეგი 60 წთ დ-10</t>
  </si>
  <si>
    <t xml:space="preserve">ლითონის კარი საკეტებით და მოწყობილობებით, 800X2200. დ-04 </t>
  </si>
  <si>
    <t>ლითონის კარი საკეტებით და მოწყობილობებით, 900X2200. დ-06</t>
  </si>
  <si>
    <t>ლითონის კარი საკეტებით და მოწყობილობებით, 1000X2200. დ-07</t>
  </si>
  <si>
    <t>ლითონის კარი საკეტებით და მოწყობილობებით, 1000X2200. დ-08</t>
  </si>
  <si>
    <t>კერამოგრანიტის ფილა (ბაქანი)</t>
  </si>
  <si>
    <t>კერამოგრანიტის ფილა (საბიჯელი)</t>
  </si>
  <si>
    <t>კერამოგრანიტის ფილა (შუბლი)</t>
  </si>
  <si>
    <t>კერამოგრანიტის ფილების მოწყობა  კიბის  კიბე-01 (ST-01)</t>
  </si>
  <si>
    <t>კერამოგრანიტის ფილების მოწყობა  კიბის  კიბე-02 (ST-02)</t>
  </si>
  <si>
    <t>კიბე #1 და #2 ის მოაჯირების მოწყობა</t>
  </si>
  <si>
    <r>
      <t>მოაჯირის სამაგრი დეტალი ლითონის ფურცელი დ-01</t>
    </r>
    <r>
      <rPr>
        <vertAlign val="superscript"/>
        <sz val="10"/>
        <color theme="1"/>
        <rFont val="Cambria"/>
        <family val="1"/>
      </rPr>
      <t>/</t>
    </r>
    <r>
      <rPr>
        <sz val="10"/>
        <color theme="1"/>
        <rFont val="Cambria"/>
        <family val="1"/>
        <charset val="204"/>
      </rPr>
      <t xml:space="preserve"> 395X110X10 მმ</t>
    </r>
  </si>
  <si>
    <t>მოაჯირის სამაგრი დეტალი ლითონის ფურცელი დ-02 185X110X10 მმ</t>
  </si>
  <si>
    <r>
      <t>მოაჯირის სამაგრი დეტალი ლითონის ფურცელი დ-02</t>
    </r>
    <r>
      <rPr>
        <vertAlign val="superscript"/>
        <sz val="10"/>
        <color theme="1"/>
        <rFont val="Cambria"/>
        <family val="1"/>
      </rPr>
      <t>/</t>
    </r>
    <r>
      <rPr>
        <sz val="10"/>
        <color theme="1"/>
        <rFont val="Cambria"/>
        <family val="1"/>
        <charset val="204"/>
      </rPr>
      <t xml:space="preserve"> 185X110X10 მმ</t>
    </r>
  </si>
  <si>
    <t>მოაჯირის სამაგრი დეტალი ლითონის ფურცელი დ-03 125X50X5 მმ</t>
  </si>
  <si>
    <r>
      <t>მოაჯირის სამაგრი დეტალი ლითონის ფურცელი დ-03</t>
    </r>
    <r>
      <rPr>
        <vertAlign val="superscript"/>
        <sz val="10"/>
        <color theme="1"/>
        <rFont val="Cambria"/>
        <family val="1"/>
      </rPr>
      <t xml:space="preserve">/ </t>
    </r>
    <r>
      <rPr>
        <sz val="10"/>
        <color theme="1"/>
        <rFont val="Cambria"/>
        <family val="1"/>
        <charset val="204"/>
      </rPr>
      <t>100X85X60 მმ</t>
    </r>
  </si>
  <si>
    <r>
      <t>მოაჯირის სამაგრი დეტალი ლითონის ფურცელი დ-04</t>
    </r>
    <r>
      <rPr>
        <vertAlign val="superscript"/>
        <sz val="10"/>
        <color theme="1"/>
        <rFont val="Cambria"/>
        <family val="1"/>
      </rPr>
      <t xml:space="preserve"> </t>
    </r>
    <r>
      <rPr>
        <sz val="10"/>
        <color theme="1"/>
        <rFont val="Cambria"/>
        <family val="1"/>
        <charset val="204"/>
      </rPr>
      <t>100X85X245მმ</t>
    </r>
  </si>
  <si>
    <t>R-01</t>
  </si>
  <si>
    <t>კედლების შეფითხვა და შეღებვა წყალემულსიური საღებავით  (WF-11)</t>
  </si>
  <si>
    <t xml:space="preserve">წყალემულსიური საღებავი RAL 7035 </t>
  </si>
  <si>
    <t xml:space="preserve"> რეზერვუარის  ჰიდროსაიზოლაციო სამუშაოები წასასმელი (wf-10)</t>
  </si>
  <si>
    <t>ბინებში ტიხრების  ლესვა გიპერით  15მმ მექანიზირებული მეთოდით  (WF-13)</t>
  </si>
  <si>
    <t>კედლების  ლესვა გიპერით მექანიზირებული მეთოდით  16მმ (WF-11)</t>
  </si>
  <si>
    <t>ლითონის მილკვადრატი 100x50 მმ</t>
  </si>
  <si>
    <t>პროფილი CW-50x50</t>
  </si>
  <si>
    <t>ტიხრის პროფილი U</t>
  </si>
  <si>
    <t xml:space="preserve">წებო ცემენტი </t>
  </si>
  <si>
    <t>CL-07 II-V სართული ვიტრაჟი ჭერი</t>
  </si>
  <si>
    <r>
      <t>ქვაბამბა სისქით 50მმ 120 კგ/მ</t>
    </r>
    <r>
      <rPr>
        <vertAlign val="superscript"/>
        <sz val="10"/>
        <color theme="1"/>
        <rFont val="Calibri Light"/>
        <family val="2"/>
        <scheme val="major"/>
      </rPr>
      <t>3</t>
    </r>
  </si>
  <si>
    <t>CL-08 I მრიცხველის ჭერი</t>
  </si>
  <si>
    <t>მრიცხველის ჭერის მოწყობა</t>
  </si>
  <si>
    <t>ალუმინის პერფორირებული ბადე RAL 7016 (600x600მმ)</t>
  </si>
  <si>
    <t>მთავარი T-პროფილი (L = 3600მმ)</t>
  </si>
  <si>
    <t>განივი T-პროფილი (L = 1200მმ)</t>
  </si>
  <si>
    <t>განივი T-პროფილი (L = 600მმ)</t>
  </si>
  <si>
    <t xml:space="preserve">ჭერის  შეღებვა წყალემულსიური საღებავით  </t>
  </si>
  <si>
    <t>ლითონის კარი საკეტებით და მოწყობილობებით, 1000X2200 ცეცხლმედეგi 90წთ დ-05</t>
  </si>
  <si>
    <t xml:space="preserve">იატაკის წებო ცემენტით დამუშავება </t>
  </si>
  <si>
    <t xml:space="preserve"> ზედაპირზე ლაქის წამსა, 2 ფენა</t>
  </si>
  <si>
    <t>კიბეების საბიჯელების ზედაპირების დამუშავება, მოშლიფოვკება</t>
  </si>
  <si>
    <t>ლითონის მოაჯირი ჩარჩო, ლითონის ზოლოვანა 40x10მმ, d-16, მმ RAL7016,H=1100)</t>
  </si>
  <si>
    <t>ლითონის მოაჯირის სექცია (1525 X 3772 მმ)</t>
  </si>
  <si>
    <t>R-02</t>
  </si>
  <si>
    <t>ლითონის მოაჯირის სექცია (1015 X 2930 მმ)</t>
  </si>
  <si>
    <t>R-03</t>
  </si>
  <si>
    <t>R-04</t>
  </si>
  <si>
    <t>ლითონის მოაჯირის სექცია (1085 X 2828 მმ)</t>
  </si>
  <si>
    <t>HR-01</t>
  </si>
  <si>
    <t>დ-01</t>
  </si>
  <si>
    <t>მოაჯირის სამაგრი დეტალი ლითონის ფურცელი 395X110X10 მმ</t>
  </si>
  <si>
    <r>
      <t>დ-01</t>
    </r>
    <r>
      <rPr>
        <vertAlign val="superscript"/>
        <sz val="10"/>
        <color theme="1"/>
        <rFont val="Cambria"/>
        <family val="1"/>
      </rPr>
      <t>/</t>
    </r>
  </si>
  <si>
    <t xml:space="preserve">დ-02 </t>
  </si>
  <si>
    <t xml:space="preserve">დ-03 </t>
  </si>
  <si>
    <t xml:space="preserve">დ-04 </t>
  </si>
  <si>
    <r>
      <t>დ-02</t>
    </r>
    <r>
      <rPr>
        <vertAlign val="superscript"/>
        <sz val="10"/>
        <color theme="1"/>
        <rFont val="Cambria"/>
        <family val="1"/>
      </rPr>
      <t>/</t>
    </r>
  </si>
  <si>
    <r>
      <t>დ-03</t>
    </r>
    <r>
      <rPr>
        <vertAlign val="superscript"/>
        <sz val="10"/>
        <color theme="1"/>
        <rFont val="Cambria"/>
        <family val="1"/>
      </rPr>
      <t>/</t>
    </r>
  </si>
  <si>
    <t>მოაჯირების შეღებვა</t>
  </si>
  <si>
    <t>ლითონის საღებავი RAL 7016</t>
  </si>
  <si>
    <t>ლითონის მოაჯირის მოწყობა (RL-03)</t>
  </si>
  <si>
    <t>კიბეების და მოაჯირების მოწყობა</t>
  </si>
  <si>
    <t>აივნების მოაჯირების მოწყობა</t>
  </si>
  <si>
    <r>
      <t>ქვაბამბა სისქით 50მმ 70 კგ/მ</t>
    </r>
    <r>
      <rPr>
        <vertAlign val="superscript"/>
        <sz val="10"/>
        <color theme="1"/>
        <rFont val="Calibri Light"/>
        <family val="2"/>
        <scheme val="major"/>
      </rPr>
      <t>3</t>
    </r>
  </si>
  <si>
    <r>
      <t>ქვაბამბა სისქით 70მმ 70 კგ/მ</t>
    </r>
    <r>
      <rPr>
        <vertAlign val="superscript"/>
        <sz val="10"/>
        <color theme="1"/>
        <rFont val="Calibri Light"/>
        <family val="2"/>
        <scheme val="major"/>
      </rPr>
      <t>3</t>
    </r>
  </si>
  <si>
    <r>
      <t>ქვაბამბა სისქით 50 მმ 70 კგ/მ</t>
    </r>
    <r>
      <rPr>
        <vertAlign val="superscript"/>
        <sz val="10"/>
        <color theme="1"/>
        <rFont val="Calibri Light"/>
        <family val="2"/>
        <scheme val="major"/>
      </rPr>
      <t>3</t>
    </r>
  </si>
  <si>
    <r>
      <t>ქვაბამბა სისქით 100მმ 70 კგ/მ</t>
    </r>
    <r>
      <rPr>
        <vertAlign val="superscript"/>
        <sz val="10"/>
        <color theme="1"/>
        <rFont val="Calibri Light"/>
        <family val="2"/>
        <scheme val="major"/>
      </rPr>
      <t>3</t>
    </r>
  </si>
  <si>
    <r>
      <t>ქვაბამბა სისქით 50მმ 100 კგ/მ</t>
    </r>
    <r>
      <rPr>
        <vertAlign val="superscript"/>
        <sz val="10"/>
        <color theme="1"/>
        <rFont val="Calibri Light"/>
        <family val="2"/>
        <scheme val="major"/>
      </rPr>
      <t>3</t>
    </r>
  </si>
  <si>
    <t>წებოცემენტი სიკა 5მმ</t>
  </si>
  <si>
    <t>ტექნიკური აივნის კარადების სპეციფიკაცია</t>
  </si>
  <si>
    <t>W-01 3000x5200=15.7 კვ.მ.</t>
  </si>
  <si>
    <t>W-02 2700x2300=5.9 კვ.მ.</t>
  </si>
  <si>
    <r>
      <t>W-02</t>
    </r>
    <r>
      <rPr>
        <vertAlign val="superscript"/>
        <sz val="10"/>
        <rFont val="Calibri"/>
        <family val="2"/>
        <scheme val="minor"/>
      </rPr>
      <t>/</t>
    </r>
    <r>
      <rPr>
        <sz val="10"/>
        <rFont val="Calibri"/>
        <family val="2"/>
        <scheme val="minor"/>
      </rPr>
      <t xml:space="preserve"> 2700x2300=5.9 კვ.მ.</t>
    </r>
  </si>
  <si>
    <t>W-03 2700x5500=14.7 კვ.მ.</t>
  </si>
  <si>
    <t>იატაკზე დამათბუნებელი ფენის მოწყობა ქვიშით 134მმ</t>
  </si>
  <si>
    <t>FL-09</t>
  </si>
  <si>
    <t>იატაკზე დამათბუნებელი ფენის მოწყობა ქვიშით189მმ</t>
  </si>
  <si>
    <t>კერამოგრანიტის ფილების მოწყობა</t>
  </si>
  <si>
    <t xml:space="preserve">კერამოგრანიტის ფილა </t>
  </si>
  <si>
    <t>ცემენტის და აკრილის ბაზაზე დაფუძნებული ორკომპონენტიანი წასასმელი ჰიდროსაიზოლაციო მასალა (ორი ფენა) (სიკა ან ანალოგი)</t>
  </si>
  <si>
    <t>პროფილი CW 50/0.6*3000მმ</t>
  </si>
  <si>
    <t>პროფილი UW 50/0.60*3000მმ</t>
  </si>
  <si>
    <r>
      <t>დ-100 ბლოკის კედლის მოპირკეთება ცეცხლმედეგი ორმაგი თაბაშირ-მუყაოს ფილებით  (WL-01</t>
    </r>
    <r>
      <rPr>
        <b/>
        <vertAlign val="superscript"/>
        <sz val="10"/>
        <rFont val="Calibri Light"/>
        <family val="2"/>
        <scheme val="major"/>
      </rPr>
      <t>/</t>
    </r>
    <r>
      <rPr>
        <b/>
        <sz val="10"/>
        <rFont val="Calibri Light"/>
        <family val="2"/>
        <scheme val="major"/>
      </rPr>
      <t>)  შახტების შეფუთვა</t>
    </r>
  </si>
  <si>
    <r>
      <t>დ-100 ბლოკის კედლის მოპირკეთება ნესტგამძლე ორმაგი თაბაშირ-მუყაოს ფილებით  (WL-01</t>
    </r>
    <r>
      <rPr>
        <b/>
        <vertAlign val="superscript"/>
        <sz val="10"/>
        <rFont val="Calibri Light"/>
        <family val="2"/>
        <scheme val="major"/>
      </rPr>
      <t>//</t>
    </r>
    <r>
      <rPr>
        <b/>
        <sz val="10"/>
        <rFont val="Calibri Light"/>
        <family val="2"/>
        <scheme val="major"/>
      </rPr>
      <t xml:space="preserve">) </t>
    </r>
  </si>
  <si>
    <t>ცეცხლმედეგი ორმაგი თაბაშირ-მუყაოს ფილების მოწყობა  (WL-07)</t>
  </si>
  <si>
    <t>ნესტგამძლე ორმაგი თაბაშირ-მუყაოს ფილების მოწყობა  (WL-08)</t>
  </si>
  <si>
    <t>პროფილი uW-50x50</t>
  </si>
  <si>
    <t>C-03 II-V სართული</t>
  </si>
  <si>
    <t>C-06 II-თაღები</t>
  </si>
  <si>
    <t>ქვაბამბა სისქით 50მმ, 120კგ/მ3</t>
  </si>
  <si>
    <t>ფასადის კედლების დეკორატიული ლესვა ე.წ "მიუხენი"</t>
  </si>
  <si>
    <r>
      <t>ქვაბამბის ყინვაგამძლე წებო ცემენტით დამუშავება მაარმირებელი ბადით (WF-05</t>
    </r>
    <r>
      <rPr>
        <b/>
        <vertAlign val="superscript"/>
        <sz val="10"/>
        <rFont val="Calibri Light"/>
        <family val="2"/>
        <scheme val="major"/>
      </rPr>
      <t>/</t>
    </r>
    <r>
      <rPr>
        <b/>
        <sz val="10"/>
        <rFont val="Calibri Light"/>
        <family val="2"/>
        <scheme val="major"/>
      </rPr>
      <t>)</t>
    </r>
  </si>
  <si>
    <t>პროფილი CW 50*50</t>
  </si>
  <si>
    <t>პროფილი UW 50*50</t>
  </si>
  <si>
    <t>პროფილი UW 70*50</t>
  </si>
  <si>
    <t>პროფილი UW75*50</t>
  </si>
  <si>
    <t>V</t>
  </si>
  <si>
    <t>იატაკზე დამათბუნებელი ფენის მოწყობა ქვიშით 209-170 მმ ქანობით</t>
  </si>
  <si>
    <r>
      <t>მ</t>
    </r>
    <r>
      <rPr>
        <vertAlign val="superscript"/>
        <sz val="10"/>
        <rFont val="AcadNusx"/>
      </rPr>
      <t>2</t>
    </r>
    <r>
      <rPr>
        <sz val="10"/>
        <rFont val="AcadNusx"/>
      </rPr>
      <t>²</t>
    </r>
  </si>
  <si>
    <t>შენადუღები ბადე  6*200*200</t>
  </si>
  <si>
    <t>ორკომპონენტიანი, ელასტიური ცემენტისა და აკრილის ბაზაზე დაფუძნებული ჰიდროიზოლაციის ზედაპირი 3 სმ, 2 ფენა (სიკა ან ანალოგი)</t>
  </si>
  <si>
    <t>დაციტის ფილა სისქით 30 სმ,ზომით 3.6*0.3=1.08 კვ.მ. საბიჯელი და 3.6*0.15=0.54 შუბლი</t>
  </si>
  <si>
    <t>დაციტის ფილა სისქით 30 სმ,ზომით 1.5*0.3=0.45 კვ.მ. საბიჯელი და 1.5*0.15=0.225 შუბლი</t>
  </si>
  <si>
    <t xml:space="preserve">მოჭმვის მოწყობა ქვიშა-ცემენტის ხსნარით სისქით 126მმ </t>
  </si>
  <si>
    <r>
      <t>ფასადის XPS-ით დამათბუნებელი ფენის მოწყობა 50მმ (WF-05</t>
    </r>
    <r>
      <rPr>
        <b/>
        <vertAlign val="superscript"/>
        <sz val="10"/>
        <color theme="1"/>
        <rFont val="Calibri"/>
        <family val="2"/>
        <scheme val="minor"/>
      </rPr>
      <t>/</t>
    </r>
    <r>
      <rPr>
        <b/>
        <sz val="10"/>
        <color theme="1"/>
        <rFont val="Calibri"/>
        <family val="2"/>
        <scheme val="minor"/>
      </rPr>
      <t>)</t>
    </r>
  </si>
  <si>
    <t>დამცავი ფენილის მოწყობა სისქით 5 მმ ფენის მოწყობა</t>
  </si>
  <si>
    <t>ფასადის საღებავი RAL7016</t>
  </si>
  <si>
    <t>ბეტონის ჭერის  ზედაპირირის დამუშავება უფერო ლაქით</t>
  </si>
  <si>
    <t>ტიხრების მოწყობა ხმის იზოლაცია (WF-12)</t>
  </si>
  <si>
    <t>მაარმირებელი ბადე 6*200*200</t>
  </si>
  <si>
    <t>პოლიეთილენის მაარმირებელი ბადე</t>
  </si>
  <si>
    <t>CL-04 აივნები,პარკინგი და დამხმარე ოთახი</t>
  </si>
  <si>
    <t>გრუნტით დამუშავება 2 მმ</t>
  </si>
  <si>
    <t>დაციტის კიბის საფეხურების და შუბლის მოწყობა</t>
  </si>
  <si>
    <t xml:space="preserve">ფასადი </t>
  </si>
  <si>
    <t>ლითონის სახელური მრგვალი D-30მმ</t>
  </si>
  <si>
    <t>ბეტონის საფარის მოწყობა სისქით 147სმმ (დამხმარე სათავსო)</t>
  </si>
  <si>
    <t xml:space="preserve">ლითონის კარი საკეტებით და მოწყობილობებით, 1600X2200 დ-01 </t>
  </si>
  <si>
    <t>ლითონი</t>
  </si>
  <si>
    <t>1'"</t>
  </si>
  <si>
    <t>ლითონის კარი საკეტებით და მოწყობილობებით, 1600X2200 დ-01 - ცხაურიანი</t>
  </si>
  <si>
    <t xml:space="preserve">ლითონის კარი საკეტებით და მოწყობილობებით, 1000X2200. დ-02 </t>
  </si>
  <si>
    <t>ლითონის კარი საკეტებით და მოწყობილობებით, 1400X2200. დ-09</t>
  </si>
  <si>
    <t>ლითონის კარი საკეტებით და მოწყობილობებით, 2500X3950 დ-11</t>
  </si>
  <si>
    <t xml:space="preserve">ლითონის კარი საკეტებით და მოწყობილობებით, 2540X2700 დ-12 </t>
  </si>
  <si>
    <t>12 "</t>
  </si>
  <si>
    <t>კომერციულის სველი წერტილის კარი (შშმ), 1000X2200 MF</t>
  </si>
  <si>
    <t>MDF</t>
  </si>
  <si>
    <t>ცეცხლმედეგობა</t>
  </si>
  <si>
    <t>პრ.</t>
  </si>
  <si>
    <t xml:space="preserve">ლითონის კარი საკეტებით და მოწყობილობებით, 3180X2700 დ-12 </t>
  </si>
  <si>
    <t>იატაკზე დამათბუნებელი ფენის მოწყობა ქვიშით 233მმ</t>
  </si>
  <si>
    <t>იატაკზე დამათბუნებელი ფენის მოწყობა ქვიშით124-80 მმ ქანობით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</si>
</sst>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₾&quot;_-;\-* #,##0.00\ &quot;₾&quot;_-;_-* &quot;-&quot;??\ &quot;₾&quot;_-;_-@_-"/>
    <numFmt numFmtId="165" formatCode="#,##0.00\ &quot;₾&quot;"/>
    <numFmt numFmtId="166" formatCode="#,##0.00\ [$₾-437]"/>
    <numFmt numFmtId="167" formatCode="&quot;$&quot;#,##0.00"/>
    <numFmt numFmtId="168" formatCode="#,##0.00\ _₾"/>
    <numFmt numFmtId="169" formatCode="_-* #,##0.00_р_._-;\-* #,##0.00_р_._-;_-* &quot;-&quot;??_р_._-;_-@_-"/>
    <numFmt numFmtId="170" formatCode="0.0%"/>
    <numFmt numFmtId="171" formatCode="#,##0.0"/>
    <numFmt numFmtId="172" formatCode="_-* #,##0.00_-;\-* #,##0.00_-;_-* &quot;-&quot;??_-;_-@_-"/>
    <numFmt numFmtId="173" formatCode="#,##0.0000\ _₾"/>
    <numFmt numFmtId="174" formatCode="#,##0.000"/>
    <numFmt numFmtId="175" formatCode="_-* #,##0.00\ _₾_-;\-* #,##0.00\ _₾_-;_-* &quot;-&quot;??\ _₾_-;_-@_-"/>
    <numFmt numFmtId="176" formatCode="0.000"/>
    <numFmt numFmtId="177" formatCode="_(* #,##0_);_(* \(#,##0\);_(* &quot;-&quot;??_);_(@_)"/>
    <numFmt numFmtId="178" formatCode="#,##0.0\ [$₾-437]"/>
  </numFmts>
  <fonts count="8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b/>
      <sz val="10"/>
      <name val="Calibri Light"/>
      <family val="2"/>
      <scheme val="major"/>
    </font>
    <font>
      <i/>
      <sz val="10"/>
      <color theme="1"/>
      <name val="Calibri Light"/>
      <family val="2"/>
      <scheme val="major"/>
    </font>
    <font>
      <sz val="10"/>
      <name val="Arial"/>
      <family val="2"/>
    </font>
    <font>
      <b/>
      <sz val="10"/>
      <color theme="1"/>
      <name val="Calibri Light"/>
      <family val="2"/>
      <scheme val="major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theme="1"/>
      <name val="Calibri"/>
      <family val="2"/>
    </font>
    <font>
      <b/>
      <sz val="10"/>
      <color rgb="FFFF0000"/>
      <name val="Calibri Light"/>
      <family val="2"/>
      <scheme val="major"/>
    </font>
    <font>
      <sz val="10"/>
      <color theme="1"/>
      <name val="Calibri"/>
      <family val="2"/>
      <charset val="204"/>
      <scheme val="minor"/>
    </font>
    <font>
      <b/>
      <i/>
      <sz val="10"/>
      <name val="Calibri Light"/>
      <family val="2"/>
      <scheme val="major"/>
    </font>
    <font>
      <sz val="10"/>
      <color theme="1"/>
      <name val="Sylfaen"/>
      <family val="1"/>
    </font>
    <font>
      <b/>
      <sz val="11"/>
      <color theme="1"/>
      <name val="Calibri Light"/>
      <family val="2"/>
      <scheme val="major"/>
    </font>
    <font>
      <sz val="1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vertAlign val="superscript"/>
      <sz val="10"/>
      <name val="Calibri Light"/>
      <family val="2"/>
      <scheme val="major"/>
    </font>
    <font>
      <i/>
      <sz val="1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b/>
      <sz val="12"/>
      <name val="Calibri Light"/>
      <family val="1"/>
      <scheme val="major"/>
    </font>
    <font>
      <b/>
      <sz val="12"/>
      <color rgb="FFFF0000"/>
      <name val="Calibri Light"/>
      <family val="2"/>
      <scheme val="major"/>
    </font>
    <font>
      <vertAlign val="superscript"/>
      <sz val="11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mbria"/>
      <family val="1"/>
      <charset val="204"/>
    </font>
    <font>
      <b/>
      <sz val="10"/>
      <color theme="1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Cambria"/>
      <family val="1"/>
      <charset val="204"/>
    </font>
    <font>
      <b/>
      <sz val="10"/>
      <color theme="1"/>
      <name val="Calibri"/>
      <family val="2"/>
      <scheme val="minor"/>
    </font>
    <font>
      <sz val="10"/>
      <color rgb="FFFF0000"/>
      <name val="Sylfaen"/>
      <family val="1"/>
    </font>
    <font>
      <sz val="10"/>
      <color rgb="FFFF0000"/>
      <name val="Calibri Light"/>
      <family val="2"/>
      <scheme val="major"/>
    </font>
    <font>
      <b/>
      <vertAlign val="superscript"/>
      <sz val="10"/>
      <color theme="1"/>
      <name val="Calibri Light"/>
      <family val="2"/>
      <scheme val="major"/>
    </font>
    <font>
      <b/>
      <sz val="10"/>
      <name val="AcadNusx"/>
    </font>
    <font>
      <sz val="10"/>
      <name val="AcadNusx"/>
    </font>
    <font>
      <b/>
      <sz val="10"/>
      <color theme="1"/>
      <name val="AcadNusx"/>
    </font>
    <font>
      <sz val="11"/>
      <color theme="1"/>
      <name val="Calibri"/>
      <family val="2"/>
      <charset val="1"/>
      <scheme val="minor"/>
    </font>
    <font>
      <sz val="11"/>
      <color rgb="FFFF0000"/>
      <name val="AcadNusx"/>
    </font>
    <font>
      <sz val="11"/>
      <name val="AcadNusx"/>
    </font>
    <font>
      <sz val="10"/>
      <color theme="1"/>
      <name val="AcadNusx"/>
    </font>
    <font>
      <sz val="10"/>
      <color rgb="FFFF0000"/>
      <name val="AcadNusx"/>
    </font>
    <font>
      <vertAlign val="superscript"/>
      <sz val="10"/>
      <color theme="1"/>
      <name val="AcadNusx"/>
    </font>
    <font>
      <sz val="11"/>
      <color theme="1"/>
      <name val="AcadNusx"/>
    </font>
    <font>
      <sz val="10"/>
      <color rgb="FFFF0000"/>
      <name val="Cambria"/>
      <family val="1"/>
      <charset val="204"/>
    </font>
    <font>
      <sz val="10"/>
      <name val="Calibri Light"/>
      <family val="1"/>
      <scheme val="major"/>
    </font>
    <font>
      <sz val="10"/>
      <name val="Calibri Light"/>
      <family val="1"/>
      <charset val="204"/>
      <scheme val="maj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1"/>
      <color theme="1"/>
      <name val="Cambria"/>
      <family val="1"/>
      <charset val="204"/>
    </font>
    <font>
      <vertAlign val="superscript"/>
      <sz val="10"/>
      <color theme="1"/>
      <name val="Calibri Light"/>
      <family val="2"/>
      <scheme val="major"/>
    </font>
    <font>
      <b/>
      <vertAlign val="superscript"/>
      <sz val="10"/>
      <name val="Calibri Light"/>
      <family val="2"/>
      <scheme val="major"/>
    </font>
    <font>
      <b/>
      <sz val="10"/>
      <name val="Calibri Light"/>
      <family val="1"/>
      <charset val="204"/>
      <scheme val="major"/>
    </font>
    <font>
      <b/>
      <sz val="10"/>
      <name val="Calibri Light"/>
      <family val="1"/>
      <scheme val="major"/>
    </font>
    <font>
      <sz val="10"/>
      <name val="Sylfaen"/>
      <family val="1"/>
    </font>
    <font>
      <sz val="11"/>
      <name val="Calibri"/>
      <family val="2"/>
      <charset val="204"/>
      <scheme val="minor"/>
    </font>
    <font>
      <sz val="10"/>
      <name val="Calibri"/>
      <family val="1"/>
      <scheme val="minor"/>
    </font>
    <font>
      <sz val="11"/>
      <name val="Calibri Light"/>
      <family val="1"/>
      <scheme val="major"/>
    </font>
    <font>
      <sz val="8"/>
      <name val="Calibri Light"/>
      <family val="1"/>
      <charset val="204"/>
      <scheme val="major"/>
    </font>
    <font>
      <b/>
      <sz val="12"/>
      <name val="Cambria"/>
      <family val="1"/>
      <charset val="204"/>
    </font>
    <font>
      <b/>
      <sz val="12"/>
      <color theme="1"/>
      <name val="Cambria"/>
      <family val="1"/>
      <charset val="204"/>
    </font>
    <font>
      <sz val="11"/>
      <name val="Cambria"/>
      <family val="1"/>
      <charset val="204"/>
    </font>
    <font>
      <b/>
      <i/>
      <sz val="11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b/>
      <sz val="10"/>
      <color theme="1"/>
      <name val="Cambria"/>
      <family val="1"/>
    </font>
    <font>
      <vertAlign val="superscript"/>
      <sz val="10"/>
      <color theme="1"/>
      <name val="Cambria"/>
      <family val="1"/>
    </font>
    <font>
      <b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Sylfaen"/>
      <family val="1"/>
    </font>
    <font>
      <sz val="16"/>
      <name val="Sylfaen"/>
      <family val="1"/>
    </font>
    <font>
      <sz val="10"/>
      <color rgb="FFFF0000"/>
      <name val="Calibri"/>
      <family val="2"/>
      <scheme val="minor"/>
    </font>
    <font>
      <vertAlign val="superscript"/>
      <sz val="10"/>
      <name val="AcadNusx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9" fillId="0" borderId="0" applyFont="0" applyFill="0" applyBorder="0" applyAlignment="0" applyProtection="0"/>
    <xf numFmtId="0" fontId="8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9" fontId="31" fillId="0" borderId="0" applyFont="0" applyFill="0" applyBorder="0" applyAlignment="0" applyProtection="0"/>
    <xf numFmtId="0" fontId="31" fillId="0" borderId="0"/>
    <xf numFmtId="0" fontId="8" fillId="0" borderId="0"/>
    <xf numFmtId="0" fontId="8" fillId="0" borderId="0"/>
    <xf numFmtId="172" fontId="8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8" fillId="0" borderId="0"/>
    <xf numFmtId="0" fontId="43" fillId="0" borderId="0"/>
    <xf numFmtId="0" fontId="8" fillId="0" borderId="0"/>
    <xf numFmtId="9" fontId="3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23">
    <xf numFmtId="0" fontId="0" fillId="0" borderId="0" xfId="0"/>
    <xf numFmtId="165" fontId="3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left" vertical="center" wrapText="1"/>
    </xf>
    <xf numFmtId="165" fontId="4" fillId="2" borderId="0" xfId="0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vertical="center"/>
    </xf>
    <xf numFmtId="165" fontId="5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left" vertical="center"/>
    </xf>
    <xf numFmtId="165" fontId="4" fillId="2" borderId="0" xfId="0" applyNumberFormat="1" applyFont="1" applyFill="1" applyAlignment="1">
      <alignment horizontal="left" vertical="center"/>
    </xf>
    <xf numFmtId="0" fontId="11" fillId="0" borderId="0" xfId="0" applyFont="1"/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2" fontId="11" fillId="0" borderId="8" xfId="0" applyNumberFormat="1" applyFont="1" applyBorder="1" applyAlignment="1">
      <alignment horizontal="center" vertical="center"/>
    </xf>
    <xf numFmtId="43" fontId="11" fillId="0" borderId="8" xfId="1" applyFont="1" applyBorder="1"/>
    <xf numFmtId="0" fontId="7" fillId="0" borderId="6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left" vertical="center" wrapText="1"/>
    </xf>
    <xf numFmtId="170" fontId="11" fillId="0" borderId="8" xfId="2" applyNumberFormat="1" applyFont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2" fontId="4" fillId="2" borderId="8" xfId="6" applyNumberFormat="1" applyFont="1" applyFill="1" applyBorder="1" applyAlignment="1">
      <alignment horizontal="center" vertical="center"/>
    </xf>
    <xf numFmtId="43" fontId="7" fillId="2" borderId="9" xfId="1" applyFont="1" applyFill="1" applyBorder="1" applyAlignment="1">
      <alignment horizontal="center" vertical="top" wrapText="1"/>
    </xf>
    <xf numFmtId="43" fontId="4" fillId="2" borderId="8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2" borderId="8" xfId="0" applyFont="1" applyFill="1" applyBorder="1" applyAlignment="1">
      <alignment horizontal="left" vertical="center" wrapText="1"/>
    </xf>
    <xf numFmtId="9" fontId="7" fillId="2" borderId="8" xfId="0" applyNumberFormat="1" applyFont="1" applyFill="1" applyBorder="1" applyAlignment="1">
      <alignment horizontal="center" vertical="center"/>
    </xf>
    <xf numFmtId="43" fontId="7" fillId="2" borderId="8" xfId="1" applyFont="1" applyFill="1" applyBorder="1" applyAlignment="1">
      <alignment horizontal="center" vertical="top" wrapText="1"/>
    </xf>
    <xf numFmtId="0" fontId="13" fillId="0" borderId="6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2" fontId="11" fillId="2" borderId="8" xfId="0" applyNumberFormat="1" applyFont="1" applyFill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 wrapText="1"/>
    </xf>
    <xf numFmtId="0" fontId="11" fillId="0" borderId="12" xfId="0" applyFont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2" fontId="11" fillId="2" borderId="12" xfId="0" applyNumberFormat="1" applyFont="1" applyFill="1" applyBorder="1" applyAlignment="1">
      <alignment vertical="center"/>
    </xf>
    <xf numFmtId="2" fontId="4" fillId="2" borderId="12" xfId="6" applyNumberFormat="1" applyFont="1" applyFill="1" applyBorder="1" applyAlignment="1">
      <alignment horizontal="center" vertical="center"/>
    </xf>
    <xf numFmtId="43" fontId="7" fillId="2" borderId="12" xfId="1" applyFont="1" applyFill="1" applyBorder="1" applyAlignment="1">
      <alignment horizontal="center" vertical="top" wrapText="1"/>
    </xf>
    <xf numFmtId="43" fontId="4" fillId="2" borderId="12" xfId="1" applyFont="1" applyFill="1" applyBorder="1" applyAlignment="1">
      <alignment horizontal="center" vertical="center"/>
    </xf>
    <xf numFmtId="43" fontId="7" fillId="2" borderId="13" xfId="1" applyFont="1" applyFill="1" applyBorder="1" applyAlignment="1">
      <alignment horizontal="center" vertical="top" wrapText="1"/>
    </xf>
    <xf numFmtId="0" fontId="14" fillId="0" borderId="0" xfId="0" applyFont="1"/>
    <xf numFmtId="0" fontId="14" fillId="0" borderId="6" xfId="0" quotePrefix="1" applyFont="1" applyBorder="1" applyAlignment="1">
      <alignment horizontal="center" vertical="top" wrapText="1"/>
    </xf>
    <xf numFmtId="0" fontId="14" fillId="0" borderId="8" xfId="0" quotePrefix="1" applyFont="1" applyBorder="1" applyAlignment="1">
      <alignment horizontal="center" vertical="top" wrapText="1"/>
    </xf>
    <xf numFmtId="4" fontId="14" fillId="0" borderId="8" xfId="0" quotePrefix="1" applyNumberFormat="1" applyFont="1" applyBorder="1" applyAlignment="1">
      <alignment horizontal="center" vertical="center" wrapText="1"/>
    </xf>
    <xf numFmtId="4" fontId="14" fillId="0" borderId="8" xfId="0" applyNumberFormat="1" applyFont="1" applyBorder="1" applyAlignment="1">
      <alignment horizontal="center" vertical="center" wrapText="1"/>
    </xf>
    <xf numFmtId="4" fontId="14" fillId="0" borderId="8" xfId="0" quotePrefix="1" applyNumberFormat="1" applyFont="1" applyBorder="1" applyAlignment="1">
      <alignment horizontal="center" vertical="top" wrapText="1"/>
    </xf>
    <xf numFmtId="4" fontId="14" fillId="0" borderId="9" xfId="0" quotePrefix="1" applyNumberFormat="1" applyFont="1" applyBorder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4" fillId="3" borderId="6" xfId="0" quotePrefix="1" applyFont="1" applyFill="1" applyBorder="1" applyAlignment="1">
      <alignment horizontal="center" vertical="center" wrapText="1"/>
    </xf>
    <xf numFmtId="0" fontId="14" fillId="3" borderId="8" xfId="0" quotePrefix="1" applyFont="1" applyFill="1" applyBorder="1" applyAlignment="1">
      <alignment horizontal="center" vertical="center" wrapText="1"/>
    </xf>
    <xf numFmtId="4" fontId="14" fillId="3" borderId="8" xfId="0" quotePrefix="1" applyNumberFormat="1" applyFont="1" applyFill="1" applyBorder="1" applyAlignment="1">
      <alignment horizontal="center" vertical="center" wrapText="1"/>
    </xf>
    <xf numFmtId="4" fontId="14" fillId="3" borderId="8" xfId="0" applyNumberFormat="1" applyFont="1" applyFill="1" applyBorder="1" applyAlignment="1">
      <alignment horizontal="center" vertical="center" wrapText="1"/>
    </xf>
    <xf numFmtId="4" fontId="14" fillId="3" borderId="9" xfId="0" quotePrefix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0" fillId="2" borderId="8" xfId="0" applyFont="1" applyFill="1" applyBorder="1" applyAlignment="1">
      <alignment horizontal="left" vertical="center" wrapText="1"/>
    </xf>
    <xf numFmtId="4" fontId="10" fillId="2" borderId="8" xfId="0" applyNumberFormat="1" applyFont="1" applyFill="1" applyBorder="1" applyAlignment="1">
      <alignment horizontal="center" vertical="center" wrapText="1"/>
    </xf>
    <xf numFmtId="4" fontId="10" fillId="2" borderId="9" xfId="0" applyNumberFormat="1" applyFont="1" applyFill="1" applyBorder="1" applyAlignment="1">
      <alignment horizontal="center" vertical="center" wrapText="1"/>
    </xf>
    <xf numFmtId="4" fontId="11" fillId="2" borderId="8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" fontId="11" fillId="0" borderId="8" xfId="0" applyNumberFormat="1" applyFont="1" applyBorder="1"/>
    <xf numFmtId="0" fontId="4" fillId="2" borderId="8" xfId="0" applyFont="1" applyFill="1" applyBorder="1" applyAlignment="1">
      <alignment horizontal="center" vertical="center"/>
    </xf>
    <xf numFmtId="0" fontId="15" fillId="0" borderId="0" xfId="0" applyFont="1"/>
    <xf numFmtId="0" fontId="10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4" fontId="14" fillId="0" borderId="0" xfId="0" applyNumberFormat="1" applyFont="1" applyAlignment="1">
      <alignment horizontal="center"/>
    </xf>
    <xf numFmtId="4" fontId="14" fillId="0" borderId="0" xfId="0" applyNumberFormat="1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6" fillId="0" borderId="0" xfId="0" applyFont="1"/>
    <xf numFmtId="0" fontId="17" fillId="3" borderId="6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4" fontId="17" fillId="3" borderId="8" xfId="0" applyNumberFormat="1" applyFont="1" applyFill="1" applyBorder="1" applyAlignment="1">
      <alignment horizontal="center" vertical="center" wrapText="1"/>
    </xf>
    <xf numFmtId="4" fontId="17" fillId="3" borderId="9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4" fontId="4" fillId="2" borderId="9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 wrapText="1"/>
    </xf>
    <xf numFmtId="164" fontId="18" fillId="0" borderId="0" xfId="0" applyNumberFormat="1" applyFont="1"/>
    <xf numFmtId="164" fontId="19" fillId="2" borderId="6" xfId="0" applyNumberFormat="1" applyFont="1" applyFill="1" applyBorder="1" applyAlignment="1">
      <alignment horizontal="center" vertical="center"/>
    </xf>
    <xf numFmtId="164" fontId="20" fillId="0" borderId="0" xfId="0" applyNumberFormat="1" applyFont="1" applyAlignment="1">
      <alignment vertical="center"/>
    </xf>
    <xf numFmtId="0" fontId="21" fillId="0" borderId="0" xfId="0" applyFont="1"/>
    <xf numFmtId="0" fontId="21" fillId="2" borderId="0" xfId="0" applyFont="1" applyFill="1"/>
    <xf numFmtId="0" fontId="23" fillId="0" borderId="0" xfId="0" applyFont="1"/>
    <xf numFmtId="2" fontId="4" fillId="2" borderId="0" xfId="0" applyNumberFormat="1" applyFont="1" applyFill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43" fontId="11" fillId="2" borderId="8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4" fontId="0" fillId="0" borderId="0" xfId="0" applyNumberFormat="1"/>
    <xf numFmtId="0" fontId="7" fillId="0" borderId="3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left" vertical="center" wrapText="1"/>
    </xf>
    <xf numFmtId="171" fontId="4" fillId="2" borderId="8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14" fillId="2" borderId="0" xfId="0" applyFont="1" applyFill="1"/>
    <xf numFmtId="0" fontId="16" fillId="2" borderId="0" xfId="0" applyFont="1" applyFill="1"/>
    <xf numFmtId="4" fontId="0" fillId="2" borderId="0" xfId="0" applyNumberFormat="1" applyFill="1" applyAlignment="1">
      <alignment horizontal="center" vertical="center"/>
    </xf>
    <xf numFmtId="4" fontId="0" fillId="2" borderId="8" xfId="0" applyNumberFormat="1" applyFill="1" applyBorder="1"/>
    <xf numFmtId="43" fontId="11" fillId="0" borderId="8" xfId="1" applyFont="1" applyBorder="1" applyAlignment="1">
      <alignment horizontal="center"/>
    </xf>
    <xf numFmtId="2" fontId="16" fillId="0" borderId="8" xfId="0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4" fontId="0" fillId="2" borderId="0" xfId="0" applyNumberFormat="1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quotePrefix="1" applyAlignment="1">
      <alignment horizontal="center" vertical="center"/>
    </xf>
    <xf numFmtId="16" fontId="0" fillId="0" borderId="0" xfId="0" applyNumberFormat="1"/>
    <xf numFmtId="0" fontId="0" fillId="4" borderId="0" xfId="0" applyFill="1"/>
    <xf numFmtId="0" fontId="0" fillId="4" borderId="0" xfId="0" applyFill="1" applyAlignment="1">
      <alignment horizontal="center" vertical="center"/>
    </xf>
    <xf numFmtId="0" fontId="25" fillId="0" borderId="0" xfId="0" applyFont="1"/>
    <xf numFmtId="0" fontId="29" fillId="0" borderId="0" xfId="0" applyFont="1"/>
    <xf numFmtId="43" fontId="11" fillId="0" borderId="9" xfId="1" applyFont="1" applyBorder="1" applyAlignment="1">
      <alignment horizontal="center" vertical="center"/>
    </xf>
    <xf numFmtId="4" fontId="16" fillId="0" borderId="0" xfId="0" applyNumberFormat="1" applyFont="1"/>
    <xf numFmtId="0" fontId="33" fillId="0" borderId="3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 wrapText="1"/>
    </xf>
    <xf numFmtId="2" fontId="35" fillId="0" borderId="8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2" xfId="0" applyFont="1" applyBorder="1" applyAlignment="1">
      <alignment horizontal="center" vertical="center" wrapText="1"/>
    </xf>
    <xf numFmtId="2" fontId="35" fillId="0" borderId="12" xfId="0" applyNumberFormat="1" applyFont="1" applyBorder="1" applyAlignment="1">
      <alignment horizontal="center" vertical="center" wrapText="1"/>
    </xf>
    <xf numFmtId="0" fontId="37" fillId="0" borderId="0" xfId="0" applyFont="1"/>
    <xf numFmtId="3" fontId="14" fillId="0" borderId="8" xfId="0" quotePrefix="1" applyNumberFormat="1" applyFont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 wrapText="1"/>
    </xf>
    <xf numFmtId="3" fontId="14" fillId="0" borderId="8" xfId="0" quotePrefix="1" applyNumberFormat="1" applyFont="1" applyBorder="1" applyAlignment="1">
      <alignment horizontal="center" vertical="top" wrapText="1"/>
    </xf>
    <xf numFmtId="3" fontId="14" fillId="0" borderId="9" xfId="0" quotePrefix="1" applyNumberFormat="1" applyFont="1" applyBorder="1" applyAlignment="1">
      <alignment horizontal="center" vertical="top" wrapText="1"/>
    </xf>
    <xf numFmtId="0" fontId="17" fillId="4" borderId="8" xfId="0" applyFont="1" applyFill="1" applyBorder="1" applyAlignment="1">
      <alignment horizontal="center" vertical="center" wrapText="1"/>
    </xf>
    <xf numFmtId="4" fontId="17" fillId="4" borderId="8" xfId="0" applyNumberFormat="1" applyFont="1" applyFill="1" applyBorder="1" applyAlignment="1">
      <alignment horizontal="center" vertical="center" wrapText="1"/>
    </xf>
    <xf numFmtId="4" fontId="17" fillId="4" borderId="9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38" fillId="2" borderId="8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5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4" fontId="11" fillId="2" borderId="12" xfId="0" applyNumberFormat="1" applyFont="1" applyFill="1" applyBorder="1" applyAlignment="1">
      <alignment horizontal="center" vertical="center" wrapText="1"/>
    </xf>
    <xf numFmtId="4" fontId="10" fillId="2" borderId="12" xfId="0" applyNumberFormat="1" applyFont="1" applyFill="1" applyBorder="1" applyAlignment="1">
      <alignment horizontal="center" vertical="center" wrapText="1"/>
    </xf>
    <xf numFmtId="4" fontId="10" fillId="2" borderId="13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 vertical="center" wrapText="1"/>
    </xf>
    <xf numFmtId="4" fontId="4" fillId="2" borderId="15" xfId="0" applyNumberFormat="1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center" vertical="center" wrapText="1"/>
    </xf>
    <xf numFmtId="4" fontId="11" fillId="2" borderId="19" xfId="0" applyNumberFormat="1" applyFont="1" applyFill="1" applyBorder="1" applyAlignment="1">
      <alignment horizontal="center" vertical="center" wrapText="1"/>
    </xf>
    <xf numFmtId="4" fontId="10" fillId="2" borderId="21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4" fontId="11" fillId="2" borderId="7" xfId="0" applyNumberFormat="1" applyFont="1" applyFill="1" applyBorder="1" applyAlignment="1">
      <alignment horizontal="center" vertical="center" wrapText="1"/>
    </xf>
    <xf numFmtId="4" fontId="10" fillId="2" borderId="7" xfId="0" applyNumberFormat="1" applyFont="1" applyFill="1" applyBorder="1" applyAlignment="1">
      <alignment horizontal="center" vertical="center" wrapText="1"/>
    </xf>
    <xf numFmtId="4" fontId="10" fillId="2" borderId="22" xfId="0" applyNumberFormat="1" applyFont="1" applyFill="1" applyBorder="1" applyAlignment="1">
      <alignment horizontal="center" vertical="center" wrapText="1"/>
    </xf>
    <xf numFmtId="4" fontId="35" fillId="0" borderId="0" xfId="0" applyNumberFormat="1" applyFont="1" applyAlignment="1">
      <alignment vertical="center"/>
    </xf>
    <xf numFmtId="4" fontId="35" fillId="0" borderId="8" xfId="0" applyNumberFormat="1" applyFont="1" applyBorder="1" applyAlignment="1">
      <alignment horizontal="center" vertical="center" wrapText="1"/>
    </xf>
    <xf numFmtId="4" fontId="32" fillId="0" borderId="9" xfId="1" applyNumberFormat="1" applyFont="1" applyFill="1" applyBorder="1" applyAlignment="1">
      <alignment horizontal="center" vertical="center" wrapText="1"/>
    </xf>
    <xf numFmtId="4" fontId="33" fillId="0" borderId="4" xfId="0" applyNumberFormat="1" applyFont="1" applyBorder="1" applyAlignment="1">
      <alignment horizontal="center" vertical="center" wrapText="1"/>
    </xf>
    <xf numFmtId="4" fontId="34" fillId="0" borderId="4" xfId="0" applyNumberFormat="1" applyFont="1" applyBorder="1" applyAlignment="1">
      <alignment horizontal="center" vertical="center" wrapText="1"/>
    </xf>
    <xf numFmtId="4" fontId="34" fillId="0" borderId="4" xfId="1" applyNumberFormat="1" applyFont="1" applyFill="1" applyBorder="1" applyAlignment="1">
      <alignment horizontal="center" vertical="center" wrapText="1"/>
    </xf>
    <xf numFmtId="4" fontId="34" fillId="0" borderId="5" xfId="1" applyNumberFormat="1" applyFont="1" applyFill="1" applyBorder="1" applyAlignment="1">
      <alignment horizontal="center" vertical="center" wrapText="1"/>
    </xf>
    <xf numFmtId="4" fontId="35" fillId="0" borderId="8" xfId="1" applyNumberFormat="1" applyFont="1" applyFill="1" applyBorder="1" applyAlignment="1">
      <alignment horizontal="center" vertical="center" wrapText="1"/>
    </xf>
    <xf numFmtId="4" fontId="32" fillId="0" borderId="8" xfId="1" applyNumberFormat="1" applyFont="1" applyFill="1" applyBorder="1" applyAlignment="1">
      <alignment horizontal="center" vertical="center" wrapText="1"/>
    </xf>
    <xf numFmtId="4" fontId="10" fillId="2" borderId="19" xfId="0" applyNumberFormat="1" applyFont="1" applyFill="1" applyBorder="1" applyAlignment="1">
      <alignment horizontal="center" vertical="center" wrapText="1"/>
    </xf>
    <xf numFmtId="4" fontId="35" fillId="0" borderId="12" xfId="0" applyNumberFormat="1" applyFont="1" applyBorder="1" applyAlignment="1">
      <alignment horizontal="center" vertical="center" wrapText="1"/>
    </xf>
    <xf numFmtId="4" fontId="32" fillId="0" borderId="12" xfId="1" applyNumberFormat="1" applyFont="1" applyFill="1" applyBorder="1" applyAlignment="1">
      <alignment horizontal="center" vertical="center" wrapText="1"/>
    </xf>
    <xf numFmtId="4" fontId="35" fillId="0" borderId="12" xfId="1" applyNumberFormat="1" applyFont="1" applyFill="1" applyBorder="1" applyAlignment="1">
      <alignment horizontal="center" vertical="center" wrapText="1"/>
    </xf>
    <xf numFmtId="4" fontId="32" fillId="0" borderId="13" xfId="1" applyNumberFormat="1" applyFont="1" applyFill="1" applyBorder="1" applyAlignment="1">
      <alignment horizontal="center" vertical="center" wrapText="1"/>
    </xf>
    <xf numFmtId="4" fontId="35" fillId="0" borderId="6" xfId="0" applyNumberFormat="1" applyFont="1" applyBorder="1" applyAlignment="1">
      <alignment horizontal="center" vertical="center" wrapText="1"/>
    </xf>
    <xf numFmtId="4" fontId="32" fillId="0" borderId="4" xfId="1" applyNumberFormat="1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4" fontId="11" fillId="2" borderId="16" xfId="0" applyNumberFormat="1" applyFont="1" applyFill="1" applyBorder="1" applyAlignment="1">
      <alignment horizontal="center" vertical="center" wrapText="1"/>
    </xf>
    <xf numFmtId="4" fontId="10" fillId="2" borderId="16" xfId="0" applyNumberFormat="1" applyFont="1" applyFill="1" applyBorder="1" applyAlignment="1">
      <alignment horizontal="center" vertical="center" wrapText="1"/>
    </xf>
    <xf numFmtId="4" fontId="10" fillId="2" borderId="17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4" fontId="41" fillId="0" borderId="24" xfId="0" applyNumberFormat="1" applyFont="1" applyBorder="1" applyAlignment="1">
      <alignment horizontal="center" vertical="center"/>
    </xf>
    <xf numFmtId="0" fontId="44" fillId="0" borderId="0" xfId="0" applyFont="1"/>
    <xf numFmtId="0" fontId="49" fillId="0" borderId="0" xfId="0" applyFont="1"/>
    <xf numFmtId="0" fontId="50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2" fontId="50" fillId="0" borderId="0" xfId="0" applyNumberFormat="1" applyFont="1" applyAlignment="1">
      <alignment vertical="center"/>
    </xf>
    <xf numFmtId="0" fontId="35" fillId="0" borderId="4" xfId="0" applyFont="1" applyBorder="1" applyAlignment="1">
      <alignment horizontal="center" vertical="center" wrapText="1"/>
    </xf>
    <xf numFmtId="2" fontId="35" fillId="0" borderId="4" xfId="0" applyNumberFormat="1" applyFont="1" applyBorder="1" applyAlignment="1">
      <alignment horizontal="center" vertical="center" wrapText="1"/>
    </xf>
    <xf numFmtId="4" fontId="32" fillId="0" borderId="8" xfId="0" applyNumberFormat="1" applyFont="1" applyBorder="1" applyAlignment="1">
      <alignment horizontal="center" vertical="center" wrapText="1"/>
    </xf>
    <xf numFmtId="0" fontId="45" fillId="0" borderId="0" xfId="0" applyFont="1"/>
    <xf numFmtId="0" fontId="30" fillId="0" borderId="8" xfId="0" applyFont="1" applyBorder="1" applyAlignment="1">
      <alignment horizontal="center" vertical="center" wrapText="1"/>
    </xf>
    <xf numFmtId="43" fontId="30" fillId="2" borderId="8" xfId="1" applyFont="1" applyFill="1" applyBorder="1" applyAlignment="1">
      <alignment horizontal="center" vertical="center" wrapText="1"/>
    </xf>
    <xf numFmtId="0" fontId="30" fillId="0" borderId="8" xfId="0" applyFont="1" applyBorder="1" applyAlignment="1">
      <alignment horizontal="left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/>
    </xf>
    <xf numFmtId="4" fontId="35" fillId="0" borderId="19" xfId="0" applyNumberFormat="1" applyFont="1" applyBorder="1" applyAlignment="1">
      <alignment horizontal="center" vertical="center" wrapText="1"/>
    </xf>
    <xf numFmtId="4" fontId="32" fillId="0" borderId="19" xfId="1" applyNumberFormat="1" applyFont="1" applyFill="1" applyBorder="1" applyAlignment="1">
      <alignment horizontal="center" vertical="center" wrapText="1"/>
    </xf>
    <xf numFmtId="4" fontId="35" fillId="0" borderId="19" xfId="1" applyNumberFormat="1" applyFont="1" applyFill="1" applyBorder="1" applyAlignment="1">
      <alignment horizontal="center" vertical="center" wrapText="1"/>
    </xf>
    <xf numFmtId="4" fontId="32" fillId="0" borderId="21" xfId="1" applyNumberFormat="1" applyFont="1" applyFill="1" applyBorder="1" applyAlignment="1">
      <alignment horizontal="center" vertical="center" wrapText="1"/>
    </xf>
    <xf numFmtId="4" fontId="35" fillId="0" borderId="4" xfId="0" applyNumberFormat="1" applyFont="1" applyBorder="1" applyAlignment="1">
      <alignment horizontal="center" vertical="center" wrapText="1"/>
    </xf>
    <xf numFmtId="4" fontId="35" fillId="0" borderId="4" xfId="1" applyNumberFormat="1" applyFont="1" applyFill="1" applyBorder="1" applyAlignment="1">
      <alignment horizontal="center" vertical="center" wrapText="1"/>
    </xf>
    <xf numFmtId="4" fontId="32" fillId="0" borderId="5" xfId="1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4" fontId="32" fillId="0" borderId="0" xfId="0" applyNumberFormat="1" applyFont="1" applyAlignment="1">
      <alignment vertical="center"/>
    </xf>
    <xf numFmtId="0" fontId="11" fillId="6" borderId="16" xfId="0" applyFont="1" applyFill="1" applyBorder="1" applyAlignment="1">
      <alignment horizontal="center" vertical="center" wrapText="1"/>
    </xf>
    <xf numFmtId="4" fontId="11" fillId="6" borderId="16" xfId="0" applyNumberFormat="1" applyFont="1" applyFill="1" applyBorder="1" applyAlignment="1">
      <alignment horizontal="center" vertical="center" wrapText="1"/>
    </xf>
    <xf numFmtId="4" fontId="10" fillId="6" borderId="16" xfId="0" applyNumberFormat="1" applyFont="1" applyFill="1" applyBorder="1" applyAlignment="1">
      <alignment horizontal="center" vertical="center" wrapText="1"/>
    </xf>
    <xf numFmtId="4" fontId="10" fillId="6" borderId="17" xfId="0" applyNumberFormat="1" applyFont="1" applyFill="1" applyBorder="1" applyAlignment="1">
      <alignment horizontal="center" vertical="center" wrapText="1"/>
    </xf>
    <xf numFmtId="0" fontId="17" fillId="4" borderId="10" xfId="0" applyFont="1" applyFill="1" applyBorder="1" applyAlignment="1">
      <alignment horizontal="center" vertical="center" wrapText="1"/>
    </xf>
    <xf numFmtId="4" fontId="17" fillId="4" borderId="10" xfId="0" applyNumberFormat="1" applyFont="1" applyFill="1" applyBorder="1" applyAlignment="1">
      <alignment horizontal="center" vertical="center" wrapText="1"/>
    </xf>
    <xf numFmtId="4" fontId="17" fillId="4" borderId="15" xfId="0" applyNumberFormat="1" applyFont="1" applyFill="1" applyBorder="1" applyAlignment="1">
      <alignment horizontal="center" vertical="center" wrapText="1"/>
    </xf>
    <xf numFmtId="0" fontId="16" fillId="0" borderId="25" xfId="0" applyFont="1" applyBorder="1"/>
    <xf numFmtId="0" fontId="16" fillId="0" borderId="26" xfId="0" applyFont="1" applyBorder="1"/>
    <xf numFmtId="2" fontId="11" fillId="2" borderId="8" xfId="0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11" fillId="7" borderId="20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4" fontId="11" fillId="7" borderId="16" xfId="0" applyNumberFormat="1" applyFont="1" applyFill="1" applyBorder="1" applyAlignment="1">
      <alignment horizontal="center" vertical="center" wrapText="1"/>
    </xf>
    <xf numFmtId="4" fontId="10" fillId="7" borderId="16" xfId="0" applyNumberFormat="1" applyFont="1" applyFill="1" applyBorder="1" applyAlignment="1">
      <alignment horizontal="center" vertical="center" wrapText="1"/>
    </xf>
    <xf numFmtId="4" fontId="10" fillId="7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43" fontId="32" fillId="0" borderId="17" xfId="1" applyFont="1" applyFill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4" fontId="41" fillId="0" borderId="16" xfId="0" applyNumberFormat="1" applyFont="1" applyBorder="1" applyAlignment="1">
      <alignment horizontal="left" vertical="center" wrapText="1"/>
    </xf>
    <xf numFmtId="4" fontId="41" fillId="0" borderId="16" xfId="0" applyNumberFormat="1" applyFont="1" applyBorder="1" applyAlignment="1">
      <alignment horizontal="center" vertical="center" wrapText="1"/>
    </xf>
    <xf numFmtId="4" fontId="41" fillId="0" borderId="16" xfId="13" applyNumberFormat="1" applyFont="1" applyFill="1" applyBorder="1" applyAlignment="1">
      <alignment horizontal="center" vertical="center" wrapText="1"/>
    </xf>
    <xf numFmtId="4" fontId="47" fillId="0" borderId="16" xfId="0" applyNumberFormat="1" applyFont="1" applyBorder="1" applyAlignment="1">
      <alignment horizontal="center" vertical="center" wrapText="1"/>
    </xf>
    <xf numFmtId="0" fontId="14" fillId="0" borderId="20" xfId="0" quotePrefix="1" applyFont="1" applyBorder="1" applyAlignment="1">
      <alignment horizontal="center" vertical="top" wrapText="1"/>
    </xf>
    <xf numFmtId="0" fontId="14" fillId="0" borderId="16" xfId="0" quotePrefix="1" applyFont="1" applyBorder="1" applyAlignment="1">
      <alignment horizontal="center" vertical="top" wrapText="1"/>
    </xf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57" fillId="0" borderId="0" xfId="18" applyFont="1" applyAlignment="1">
      <alignment wrapText="1"/>
    </xf>
    <xf numFmtId="0" fontId="32" fillId="0" borderId="16" xfId="18" applyFont="1" applyBorder="1" applyAlignment="1">
      <alignment horizontal="left" vertical="center" wrapText="1"/>
    </xf>
    <xf numFmtId="0" fontId="34" fillId="0" borderId="16" xfId="18" applyFont="1" applyBorder="1" applyAlignment="1">
      <alignment horizontal="center" vertical="center" wrapText="1"/>
    </xf>
    <xf numFmtId="4" fontId="11" fillId="2" borderId="17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3" xfId="0" applyBorder="1"/>
    <xf numFmtId="0" fontId="0" fillId="0" borderId="4" xfId="0" applyBorder="1"/>
    <xf numFmtId="170" fontId="11" fillId="0" borderId="4" xfId="2" applyNumberFormat="1" applyFont="1" applyBorder="1" applyAlignment="1">
      <alignment horizontal="center"/>
    </xf>
    <xf numFmtId="0" fontId="0" fillId="0" borderId="6" xfId="0" applyBorder="1"/>
    <xf numFmtId="0" fontId="0" fillId="0" borderId="11" xfId="0" applyBorder="1"/>
    <xf numFmtId="0" fontId="0" fillId="0" borderId="12" xfId="0" applyBorder="1"/>
    <xf numFmtId="170" fontId="11" fillId="0" borderId="12" xfId="2" applyNumberFormat="1" applyFont="1" applyBorder="1" applyAlignment="1">
      <alignment horizontal="center"/>
    </xf>
    <xf numFmtId="0" fontId="0" fillId="0" borderId="20" xfId="0" applyBorder="1"/>
    <xf numFmtId="0" fontId="0" fillId="0" borderId="16" xfId="0" applyBorder="1"/>
    <xf numFmtId="2" fontId="0" fillId="0" borderId="16" xfId="0" applyNumberFormat="1" applyBorder="1"/>
    <xf numFmtId="43" fontId="0" fillId="0" borderId="5" xfId="1" applyFont="1" applyBorder="1"/>
    <xf numFmtId="43" fontId="0" fillId="0" borderId="9" xfId="1" applyFont="1" applyBorder="1"/>
    <xf numFmtId="4" fontId="4" fillId="2" borderId="16" xfId="0" applyNumberFormat="1" applyFont="1" applyFill="1" applyBorder="1" applyAlignment="1">
      <alignment horizontal="center" vertical="center" wrapText="1"/>
    </xf>
    <xf numFmtId="4" fontId="11" fillId="4" borderId="12" xfId="0" applyNumberFormat="1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/>
    </xf>
    <xf numFmtId="4" fontId="11" fillId="0" borderId="8" xfId="0" applyNumberFormat="1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2" fontId="35" fillId="0" borderId="19" xfId="0" applyNumberFormat="1" applyFont="1" applyBorder="1" applyAlignment="1">
      <alignment horizontal="center" vertical="center" wrapText="1"/>
    </xf>
    <xf numFmtId="4" fontId="35" fillId="0" borderId="8" xfId="0" applyNumberFormat="1" applyFont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 wrapText="1"/>
    </xf>
    <xf numFmtId="4" fontId="17" fillId="4" borderId="16" xfId="0" applyNumberFormat="1" applyFont="1" applyFill="1" applyBorder="1" applyAlignment="1">
      <alignment horizontal="center" vertical="center" wrapText="1"/>
    </xf>
    <xf numFmtId="4" fontId="17" fillId="4" borderId="17" xfId="0" applyNumberFormat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4" fontId="47" fillId="0" borderId="24" xfId="0" applyNumberFormat="1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/>
    </xf>
    <xf numFmtId="174" fontId="35" fillId="0" borderId="8" xfId="0" applyNumberFormat="1" applyFont="1" applyBorder="1" applyAlignment="1">
      <alignment horizontal="center" vertical="center" wrapText="1"/>
    </xf>
    <xf numFmtId="175" fontId="35" fillId="0" borderId="0" xfId="0" applyNumberFormat="1" applyFont="1" applyAlignment="1">
      <alignment vertical="center"/>
    </xf>
    <xf numFmtId="0" fontId="35" fillId="0" borderId="8" xfId="0" applyFont="1" applyBorder="1" applyAlignment="1">
      <alignment horizontal="left" vertical="center" wrapText="1"/>
    </xf>
    <xf numFmtId="0" fontId="33" fillId="0" borderId="4" xfId="0" applyFont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horizontal="center" vertical="center" wrapText="1"/>
    </xf>
    <xf numFmtId="4" fontId="35" fillId="0" borderId="27" xfId="0" applyNumberFormat="1" applyFont="1" applyBorder="1" applyAlignment="1">
      <alignment horizontal="center" vertical="center" wrapText="1"/>
    </xf>
    <xf numFmtId="4" fontId="11" fillId="2" borderId="27" xfId="0" applyNumberFormat="1" applyFont="1" applyFill="1" applyBorder="1" applyAlignment="1">
      <alignment horizontal="center" vertical="center" wrapText="1"/>
    </xf>
    <xf numFmtId="4" fontId="32" fillId="0" borderId="27" xfId="1" applyNumberFormat="1" applyFont="1" applyFill="1" applyBorder="1" applyAlignment="1">
      <alignment horizontal="center" vertical="center" wrapText="1"/>
    </xf>
    <xf numFmtId="4" fontId="35" fillId="0" borderId="27" xfId="1" applyNumberFormat="1" applyFont="1" applyFill="1" applyBorder="1" applyAlignment="1">
      <alignment horizontal="center" vertical="center" wrapText="1"/>
    </xf>
    <xf numFmtId="4" fontId="32" fillId="0" borderId="29" xfId="1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43" fontId="11" fillId="2" borderId="12" xfId="0" applyNumberFormat="1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0" fillId="0" borderId="4" xfId="0" applyFont="1" applyBorder="1" applyAlignment="1">
      <alignment horizontal="left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4" fontId="10" fillId="2" borderId="27" xfId="0" applyNumberFormat="1" applyFont="1" applyFill="1" applyBorder="1" applyAlignment="1">
      <alignment horizontal="center" vertical="center" wrapText="1"/>
    </xf>
    <xf numFmtId="4" fontId="10" fillId="2" borderId="29" xfId="0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left" vertical="center" wrapText="1"/>
    </xf>
    <xf numFmtId="4" fontId="11" fillId="7" borderId="0" xfId="0" applyNumberFormat="1" applyFont="1" applyFill="1" applyAlignment="1">
      <alignment horizontal="center" vertical="center" wrapText="1"/>
    </xf>
    <xf numFmtId="4" fontId="10" fillId="7" borderId="0" xfId="0" applyNumberFormat="1" applyFont="1" applyFill="1" applyAlignment="1">
      <alignment horizontal="center" vertical="center" wrapText="1"/>
    </xf>
    <xf numFmtId="4" fontId="11" fillId="0" borderId="12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center" vertical="center" wrapText="1"/>
    </xf>
    <xf numFmtId="4" fontId="10" fillId="7" borderId="30" xfId="0" applyNumberFormat="1" applyFont="1" applyFill="1" applyBorder="1" applyAlignment="1">
      <alignment horizontal="center" vertical="center" wrapText="1"/>
    </xf>
    <xf numFmtId="4" fontId="11" fillId="6" borderId="30" xfId="0" applyNumberFormat="1" applyFont="1" applyFill="1" applyBorder="1" applyAlignment="1">
      <alignment horizontal="center" vertical="center" wrapText="1"/>
    </xf>
    <xf numFmtId="4" fontId="11" fillId="6" borderId="0" xfId="0" applyNumberFormat="1" applyFont="1" applyFill="1" applyAlignment="1">
      <alignment horizontal="center" vertical="center" wrapText="1"/>
    </xf>
    <xf numFmtId="4" fontId="10" fillId="6" borderId="0" xfId="0" applyNumberFormat="1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62" fillId="0" borderId="0" xfId="0" applyFont="1"/>
    <xf numFmtId="0" fontId="4" fillId="2" borderId="8" xfId="0" applyFont="1" applyFill="1" applyBorder="1" applyAlignment="1">
      <alignment horizontal="center" vertical="center" wrapText="1"/>
    </xf>
    <xf numFmtId="2" fontId="10" fillId="2" borderId="8" xfId="0" applyNumberFormat="1" applyFont="1" applyFill="1" applyBorder="1" applyAlignment="1">
      <alignment horizontal="center" vertical="center" wrapText="1"/>
    </xf>
    <xf numFmtId="176" fontId="10" fillId="2" borderId="8" xfId="0" applyNumberFormat="1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60" fillId="0" borderId="4" xfId="0" applyFont="1" applyBorder="1" applyAlignment="1">
      <alignment horizontal="center" vertical="center" wrapText="1"/>
    </xf>
    <xf numFmtId="43" fontId="64" fillId="0" borderId="0" xfId="1" applyFont="1" applyAlignment="1">
      <alignment horizontal="center" vertical="center" wrapText="1"/>
    </xf>
    <xf numFmtId="2" fontId="64" fillId="0" borderId="0" xfId="0" applyNumberFormat="1" applyFont="1" applyAlignment="1">
      <alignment horizontal="center" vertical="center" wrapText="1"/>
    </xf>
    <xf numFmtId="0" fontId="64" fillId="0" borderId="0" xfId="0" applyFont="1" applyAlignment="1">
      <alignment vertical="center" wrapText="1"/>
    </xf>
    <xf numFmtId="0" fontId="63" fillId="0" borderId="0" xfId="0" applyFont="1" applyAlignment="1">
      <alignment vertical="center" wrapText="1"/>
    </xf>
    <xf numFmtId="43" fontId="65" fillId="0" borderId="0" xfId="0" applyNumberFormat="1" applyFont="1" applyAlignment="1">
      <alignment vertical="center" wrapText="1"/>
    </xf>
    <xf numFmtId="0" fontId="52" fillId="0" borderId="6" xfId="0" applyFont="1" applyBorder="1" applyAlignment="1">
      <alignment horizontal="center" vertical="center" wrapText="1"/>
    </xf>
    <xf numFmtId="0" fontId="51" fillId="0" borderId="8" xfId="0" applyFont="1" applyBorder="1" applyAlignment="1">
      <alignment horizontal="left" vertical="center" wrapText="1"/>
    </xf>
    <xf numFmtId="0" fontId="52" fillId="0" borderId="8" xfId="0" applyFont="1" applyBorder="1" applyAlignment="1">
      <alignment horizontal="center" vertical="center" wrapText="1"/>
    </xf>
    <xf numFmtId="43" fontId="64" fillId="0" borderId="0" xfId="1" applyFont="1" applyFill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1" fillId="0" borderId="8" xfId="0" applyFont="1" applyBorder="1" applyAlignment="1">
      <alignment horizontal="center" vertical="center" wrapText="1"/>
    </xf>
    <xf numFmtId="43" fontId="64" fillId="0" borderId="0" xfId="0" applyNumberFormat="1" applyFont="1" applyAlignment="1">
      <alignment vertical="center" wrapText="1"/>
    </xf>
    <xf numFmtId="0" fontId="52" fillId="0" borderId="8" xfId="0" applyFont="1" applyBorder="1" applyAlignment="1">
      <alignment horizontal="left" vertical="center" wrapText="1"/>
    </xf>
    <xf numFmtId="2" fontId="63" fillId="0" borderId="0" xfId="0" applyNumberFormat="1" applyFont="1" applyAlignment="1">
      <alignment horizontal="center" vertical="center" wrapText="1"/>
    </xf>
    <xf numFmtId="0" fontId="63" fillId="0" borderId="0" xfId="0" applyFont="1" applyAlignment="1">
      <alignment wrapText="1"/>
    </xf>
    <xf numFmtId="0" fontId="66" fillId="0" borderId="6" xfId="0" applyFont="1" applyBorder="1" applyAlignment="1">
      <alignment horizontal="center" vertical="center" wrapText="1"/>
    </xf>
    <xf numFmtId="0" fontId="52" fillId="0" borderId="11" xfId="0" applyFont="1" applyBorder="1" applyAlignment="1">
      <alignment horizontal="center" vertical="center" wrapText="1"/>
    </xf>
    <xf numFmtId="0" fontId="51" fillId="0" borderId="12" xfId="0" applyFont="1" applyBorder="1" applyAlignment="1">
      <alignment horizontal="left" vertical="center" wrapText="1"/>
    </xf>
    <xf numFmtId="0" fontId="52" fillId="0" borderId="12" xfId="0" applyFont="1" applyBorder="1" applyAlignment="1">
      <alignment horizontal="center" vertical="center" wrapText="1"/>
    </xf>
    <xf numFmtId="0" fontId="61" fillId="0" borderId="14" xfId="0" applyFont="1" applyBorder="1" applyAlignment="1">
      <alignment horizontal="center" vertical="center" wrapText="1"/>
    </xf>
    <xf numFmtId="0" fontId="60" fillId="0" borderId="10" xfId="0" applyFont="1" applyBorder="1" applyAlignment="1">
      <alignment horizontal="left" vertical="center" wrapText="1"/>
    </xf>
    <xf numFmtId="0" fontId="60" fillId="0" borderId="10" xfId="0" applyFont="1" applyBorder="1" applyAlignment="1">
      <alignment horizontal="center" vertical="center" wrapText="1"/>
    </xf>
    <xf numFmtId="2" fontId="10" fillId="2" borderId="8" xfId="1" applyNumberFormat="1" applyFont="1" applyFill="1" applyBorder="1" applyAlignment="1">
      <alignment horizontal="right" vertical="center" wrapText="1"/>
    </xf>
    <xf numFmtId="0" fontId="52" fillId="0" borderId="18" xfId="0" applyFont="1" applyBorder="1" applyAlignment="1">
      <alignment horizontal="center" vertical="center" wrapText="1"/>
    </xf>
    <xf numFmtId="0" fontId="51" fillId="0" borderId="19" xfId="0" applyFont="1" applyBorder="1" applyAlignment="1">
      <alignment horizontal="left" vertical="center" wrapText="1"/>
    </xf>
    <xf numFmtId="0" fontId="52" fillId="0" borderId="19" xfId="0" applyFont="1" applyBorder="1" applyAlignment="1">
      <alignment horizontal="center" vertical="center" wrapText="1"/>
    </xf>
    <xf numFmtId="43" fontId="64" fillId="0" borderId="0" xfId="1" applyFont="1" applyFill="1" applyAlignment="1">
      <alignment vertical="center" wrapText="1"/>
    </xf>
    <xf numFmtId="0" fontId="18" fillId="2" borderId="4" xfId="0" applyFont="1" applyFill="1" applyBorder="1" applyAlignment="1">
      <alignment horizontal="center" vertical="center"/>
    </xf>
    <xf numFmtId="0" fontId="55" fillId="2" borderId="14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4" fontId="35" fillId="0" borderId="8" xfId="0" applyNumberFormat="1" applyFont="1" applyBorder="1" applyAlignment="1">
      <alignment horizontal="left" vertical="center" wrapText="1"/>
    </xf>
    <xf numFmtId="0" fontId="52" fillId="2" borderId="6" xfId="0" applyFont="1" applyFill="1" applyBorder="1" applyAlignment="1">
      <alignment horizontal="center" vertical="center" wrapText="1"/>
    </xf>
    <xf numFmtId="0" fontId="67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57" fillId="0" borderId="0" xfId="0" applyFont="1" applyAlignment="1">
      <alignment vertical="center" wrapText="1"/>
    </xf>
    <xf numFmtId="0" fontId="69" fillId="0" borderId="36" xfId="0" applyFont="1" applyBorder="1" applyAlignment="1">
      <alignment horizontal="center" vertical="center" wrapText="1"/>
    </xf>
    <xf numFmtId="43" fontId="69" fillId="0" borderId="37" xfId="1" applyFont="1" applyBorder="1" applyAlignment="1">
      <alignment horizontal="left" vertical="center" wrapText="1"/>
    </xf>
    <xf numFmtId="43" fontId="69" fillId="0" borderId="37" xfId="1" applyFont="1" applyBorder="1" applyAlignment="1">
      <alignment horizontal="center" vertical="center" wrapText="1"/>
    </xf>
    <xf numFmtId="44" fontId="69" fillId="0" borderId="37" xfId="25" applyFont="1" applyBorder="1" applyAlignment="1">
      <alignment horizontal="center" vertical="center" wrapText="1"/>
    </xf>
    <xf numFmtId="0" fontId="70" fillId="7" borderId="1" xfId="0" applyFont="1" applyFill="1" applyBorder="1" applyAlignment="1">
      <alignment horizontal="center" vertical="center" wrapText="1"/>
    </xf>
    <xf numFmtId="0" fontId="70" fillId="7" borderId="38" xfId="0" applyFont="1" applyFill="1" applyBorder="1" applyAlignment="1">
      <alignment horizontal="center" vertical="center" wrapText="1"/>
    </xf>
    <xf numFmtId="43" fontId="70" fillId="7" borderId="38" xfId="1" applyFont="1" applyFill="1" applyBorder="1" applyAlignment="1">
      <alignment horizontal="center" vertical="center" wrapText="1"/>
    </xf>
    <xf numFmtId="44" fontId="70" fillId="7" borderId="38" xfId="25" applyFont="1" applyFill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9" fontId="57" fillId="0" borderId="38" xfId="0" applyNumberFormat="1" applyFont="1" applyBorder="1" applyAlignment="1">
      <alignment horizontal="center" vertical="center" wrapText="1"/>
    </xf>
    <xf numFmtId="43" fontId="57" fillId="0" borderId="38" xfId="1" applyFont="1" applyBorder="1" applyAlignment="1">
      <alignment horizontal="center" vertical="center" wrapText="1"/>
    </xf>
    <xf numFmtId="44" fontId="57" fillId="0" borderId="38" xfId="25" applyFont="1" applyBorder="1" applyAlignment="1">
      <alignment horizontal="center" vertical="center" wrapText="1"/>
    </xf>
    <xf numFmtId="0" fontId="57" fillId="7" borderId="38" xfId="0" applyFont="1" applyFill="1" applyBorder="1" applyAlignment="1">
      <alignment horizontal="center" vertical="center" wrapText="1"/>
    </xf>
    <xf numFmtId="2" fontId="72" fillId="0" borderId="4" xfId="0" applyNumberFormat="1" applyFont="1" applyBorder="1" applyAlignment="1">
      <alignment horizontal="center" vertical="center" wrapText="1"/>
    </xf>
    <xf numFmtId="2" fontId="33" fillId="0" borderId="4" xfId="0" applyNumberFormat="1" applyFont="1" applyBorder="1" applyAlignment="1">
      <alignment horizontal="center" vertical="center" wrapText="1"/>
    </xf>
    <xf numFmtId="43" fontId="34" fillId="0" borderId="5" xfId="1" applyFont="1" applyFill="1" applyBorder="1" applyAlignment="1">
      <alignment horizontal="center" vertical="center" wrapText="1"/>
    </xf>
    <xf numFmtId="43" fontId="32" fillId="0" borderId="9" xfId="1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left" vertical="center" wrapText="1"/>
    </xf>
    <xf numFmtId="43" fontId="32" fillId="0" borderId="13" xfId="1" applyFont="1" applyFill="1" applyBorder="1" applyAlignment="1">
      <alignment horizontal="center" vertical="center" wrapText="1"/>
    </xf>
    <xf numFmtId="0" fontId="35" fillId="0" borderId="19" xfId="0" applyFont="1" applyBorder="1" applyAlignment="1">
      <alignment horizontal="left" vertical="center" wrapText="1"/>
    </xf>
    <xf numFmtId="43" fontId="32" fillId="0" borderId="21" xfId="1" applyFont="1" applyFill="1" applyBorder="1" applyAlignment="1">
      <alignment horizontal="center" vertical="center" wrapText="1"/>
    </xf>
    <xf numFmtId="43" fontId="32" fillId="0" borderId="4" xfId="1" applyFont="1" applyFill="1" applyBorder="1" applyAlignment="1">
      <alignment horizontal="center" vertical="center" wrapText="1"/>
    </xf>
    <xf numFmtId="43" fontId="35" fillId="0" borderId="4" xfId="1" applyFont="1" applyFill="1" applyBorder="1" applyAlignment="1">
      <alignment horizontal="center" vertical="center" wrapText="1"/>
    </xf>
    <xf numFmtId="43" fontId="32" fillId="0" borderId="5" xfId="1" applyFont="1" applyFill="1" applyBorder="1" applyAlignment="1">
      <alignment horizontal="center" vertical="center" wrapText="1"/>
    </xf>
    <xf numFmtId="43" fontId="32" fillId="0" borderId="8" xfId="1" applyFont="1" applyFill="1" applyBorder="1" applyAlignment="1">
      <alignment horizontal="center" vertical="center" wrapText="1"/>
    </xf>
    <xf numFmtId="43" fontId="35" fillId="0" borderId="8" xfId="1" applyFont="1" applyFill="1" applyBorder="1" applyAlignment="1">
      <alignment horizontal="center" vertical="center" wrapText="1"/>
    </xf>
    <xf numFmtId="43" fontId="32" fillId="0" borderId="19" xfId="1" applyFont="1" applyFill="1" applyBorder="1" applyAlignment="1">
      <alignment horizontal="center" vertical="center" wrapText="1"/>
    </xf>
    <xf numFmtId="43" fontId="35" fillId="0" borderId="19" xfId="1" applyFont="1" applyFill="1" applyBorder="1" applyAlignment="1">
      <alignment horizontal="center" vertical="center" wrapText="1"/>
    </xf>
    <xf numFmtId="2" fontId="34" fillId="0" borderId="4" xfId="0" applyNumberFormat="1" applyFont="1" applyBorder="1" applyAlignment="1">
      <alignment horizontal="center" vertical="center" wrapText="1"/>
    </xf>
    <xf numFmtId="43" fontId="34" fillId="0" borderId="4" xfId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 vertical="center" wrapText="1"/>
    </xf>
    <xf numFmtId="4" fontId="72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10" fillId="0" borderId="9" xfId="0" applyNumberFormat="1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3" fontId="33" fillId="0" borderId="3" xfId="0" applyNumberFormat="1" applyFont="1" applyBorder="1" applyAlignment="1">
      <alignment horizontal="center" vertical="center"/>
    </xf>
    <xf numFmtId="4" fontId="34" fillId="0" borderId="4" xfId="0" applyNumberFormat="1" applyFont="1" applyBorder="1" applyAlignment="1">
      <alignment horizontal="left" vertical="center" wrapText="1"/>
    </xf>
    <xf numFmtId="4" fontId="33" fillId="0" borderId="4" xfId="1" applyNumberFormat="1" applyFont="1" applyFill="1" applyBorder="1" applyAlignment="1">
      <alignment horizontal="center" vertical="center" wrapText="1"/>
    </xf>
    <xf numFmtId="4" fontId="35" fillId="0" borderId="11" xfId="0" applyNumberFormat="1" applyFont="1" applyBorder="1" applyAlignment="1">
      <alignment horizontal="center" vertical="center" wrapText="1"/>
    </xf>
    <xf numFmtId="0" fontId="74" fillId="0" borderId="20" xfId="0" applyFont="1" applyBorder="1"/>
    <xf numFmtId="0" fontId="74" fillId="0" borderId="16" xfId="0" applyFont="1" applyBorder="1"/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4" fontId="7" fillId="2" borderId="16" xfId="0" applyNumberFormat="1" applyFont="1" applyFill="1" applyBorder="1" applyAlignment="1">
      <alignment horizontal="center" vertical="center" wrapText="1"/>
    </xf>
    <xf numFmtId="43" fontId="32" fillId="0" borderId="12" xfId="1" applyFont="1" applyFill="1" applyBorder="1" applyAlignment="1">
      <alignment horizontal="center" vertical="center" wrapText="1"/>
    </xf>
    <xf numFmtId="43" fontId="35" fillId="0" borderId="12" xfId="1" applyFont="1" applyFill="1" applyBorder="1" applyAlignment="1">
      <alignment horizontal="center" vertical="center" wrapText="1"/>
    </xf>
    <xf numFmtId="0" fontId="72" fillId="0" borderId="4" xfId="0" applyFont="1" applyBorder="1" applyAlignment="1">
      <alignment horizontal="left" vertical="center" wrapText="1"/>
    </xf>
    <xf numFmtId="0" fontId="11" fillId="2" borderId="23" xfId="0" applyFont="1" applyFill="1" applyBorder="1" applyAlignment="1">
      <alignment horizontal="center" vertical="center"/>
    </xf>
    <xf numFmtId="4" fontId="35" fillId="0" borderId="7" xfId="0" applyNumberFormat="1" applyFont="1" applyBorder="1" applyAlignment="1">
      <alignment horizontal="center" vertical="center" wrapText="1"/>
    </xf>
    <xf numFmtId="4" fontId="32" fillId="0" borderId="7" xfId="1" applyNumberFormat="1" applyFont="1" applyFill="1" applyBorder="1" applyAlignment="1">
      <alignment horizontal="center" vertical="center" wrapText="1"/>
    </xf>
    <xf numFmtId="4" fontId="35" fillId="0" borderId="7" xfId="1" applyNumberFormat="1" applyFont="1" applyFill="1" applyBorder="1" applyAlignment="1">
      <alignment horizontal="center" vertical="center" wrapText="1"/>
    </xf>
    <xf numFmtId="4" fontId="32" fillId="0" borderId="22" xfId="1" applyNumberFormat="1" applyFont="1" applyFill="1" applyBorder="1" applyAlignment="1">
      <alignment horizontal="center" vertical="center" wrapText="1"/>
    </xf>
    <xf numFmtId="4" fontId="11" fillId="2" borderId="12" xfId="0" applyNumberFormat="1" applyFont="1" applyFill="1" applyBorder="1" applyAlignment="1">
      <alignment horizontal="right" vertical="center" wrapText="1"/>
    </xf>
    <xf numFmtId="4" fontId="18" fillId="0" borderId="16" xfId="0" applyNumberFormat="1" applyFont="1" applyBorder="1" applyAlignment="1">
      <alignment horizontal="left" vertical="center" wrapText="1"/>
    </xf>
    <xf numFmtId="43" fontId="0" fillId="0" borderId="0" xfId="0" applyNumberFormat="1"/>
    <xf numFmtId="0" fontId="7" fillId="2" borderId="4" xfId="0" applyFont="1" applyFill="1" applyBorder="1" applyAlignment="1">
      <alignment horizontal="right" vertical="center" wrapText="1"/>
    </xf>
    <xf numFmtId="4" fontId="4" fillId="2" borderId="4" xfId="0" applyNumberFormat="1" applyFont="1" applyFill="1" applyBorder="1" applyAlignment="1">
      <alignment horizontal="right" vertical="center" wrapText="1"/>
    </xf>
    <xf numFmtId="4" fontId="4" fillId="2" borderId="5" xfId="0" applyNumberFormat="1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4" fontId="11" fillId="2" borderId="8" xfId="0" applyNumberFormat="1" applyFont="1" applyFill="1" applyBorder="1" applyAlignment="1">
      <alignment horizontal="right" vertical="center" wrapText="1"/>
    </xf>
    <xf numFmtId="4" fontId="10" fillId="2" borderId="8" xfId="0" applyNumberFormat="1" applyFont="1" applyFill="1" applyBorder="1" applyAlignment="1">
      <alignment horizontal="right" vertical="center" wrapText="1"/>
    </xf>
    <xf numFmtId="4" fontId="10" fillId="2" borderId="9" xfId="0" applyNumberFormat="1" applyFont="1" applyFill="1" applyBorder="1" applyAlignment="1">
      <alignment horizontal="right" vertical="center" wrapText="1"/>
    </xf>
    <xf numFmtId="0" fontId="11" fillId="2" borderId="12" xfId="0" applyFont="1" applyFill="1" applyBorder="1" applyAlignment="1">
      <alignment horizontal="right" vertical="center" wrapText="1"/>
    </xf>
    <xf numFmtId="4" fontId="10" fillId="2" borderId="12" xfId="0" applyNumberFormat="1" applyFont="1" applyFill="1" applyBorder="1" applyAlignment="1">
      <alignment horizontal="right" vertical="center" wrapText="1"/>
    </xf>
    <xf numFmtId="4" fontId="10" fillId="2" borderId="13" xfId="0" applyNumberFormat="1" applyFont="1" applyFill="1" applyBorder="1" applyAlignment="1">
      <alignment horizontal="right" vertical="center" wrapText="1"/>
    </xf>
    <xf numFmtId="0" fontId="16" fillId="8" borderId="0" xfId="0" applyFont="1" applyFill="1"/>
    <xf numFmtId="4" fontId="7" fillId="0" borderId="8" xfId="0" applyNumberFormat="1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11" fillId="0" borderId="19" xfId="0" applyNumberFormat="1" applyFont="1" applyBorder="1" applyAlignment="1">
      <alignment horizontal="center" vertical="center" wrapText="1"/>
    </xf>
    <xf numFmtId="4" fontId="38" fillId="0" borderId="8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43" fontId="32" fillId="0" borderId="16" xfId="1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right" vertical="center"/>
    </xf>
    <xf numFmtId="2" fontId="4" fillId="2" borderId="0" xfId="0" applyNumberFormat="1" applyFont="1" applyFill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4" fontId="7" fillId="2" borderId="19" xfId="0" applyNumberFormat="1" applyFont="1" applyFill="1" applyBorder="1" applyAlignment="1">
      <alignment horizontal="right" vertical="center" wrapText="1"/>
    </xf>
    <xf numFmtId="0" fontId="14" fillId="0" borderId="16" xfId="0" quotePrefix="1" applyFont="1" applyBorder="1" applyAlignment="1">
      <alignment horizontal="right" vertical="top" wrapText="1"/>
    </xf>
    <xf numFmtId="3" fontId="14" fillId="0" borderId="16" xfId="0" quotePrefix="1" applyNumberFormat="1" applyFont="1" applyBorder="1" applyAlignment="1">
      <alignment horizontal="right" vertical="center" wrapText="1"/>
    </xf>
    <xf numFmtId="3" fontId="14" fillId="0" borderId="16" xfId="0" applyNumberFormat="1" applyFont="1" applyBorder="1" applyAlignment="1">
      <alignment horizontal="right" vertical="center" wrapText="1"/>
    </xf>
    <xf numFmtId="3" fontId="14" fillId="0" borderId="16" xfId="0" quotePrefix="1" applyNumberFormat="1" applyFont="1" applyBorder="1" applyAlignment="1">
      <alignment horizontal="right" vertical="top" wrapText="1"/>
    </xf>
    <xf numFmtId="3" fontId="14" fillId="0" borderId="17" xfId="0" quotePrefix="1" applyNumberFormat="1" applyFont="1" applyBorder="1" applyAlignment="1">
      <alignment horizontal="right" vertical="top" wrapText="1"/>
    </xf>
    <xf numFmtId="4" fontId="18" fillId="2" borderId="4" xfId="0" applyNumberFormat="1" applyFont="1" applyFill="1" applyBorder="1" applyAlignment="1">
      <alignment horizontal="right" vertical="center" wrapText="1"/>
    </xf>
    <xf numFmtId="2" fontId="51" fillId="2" borderId="4" xfId="1" applyNumberFormat="1" applyFont="1" applyFill="1" applyBorder="1" applyAlignment="1">
      <alignment horizontal="right" vertical="center" wrapText="1"/>
    </xf>
    <xf numFmtId="2" fontId="11" fillId="2" borderId="4" xfId="1" applyNumberFormat="1" applyFont="1" applyFill="1" applyBorder="1" applyAlignment="1">
      <alignment horizontal="right"/>
    </xf>
    <xf numFmtId="43" fontId="30" fillId="2" borderId="4" xfId="1" applyFont="1" applyFill="1" applyBorder="1" applyAlignment="1">
      <alignment horizontal="right" vertical="center" wrapText="1"/>
    </xf>
    <xf numFmtId="2" fontId="51" fillId="2" borderId="8" xfId="1" applyNumberFormat="1" applyFont="1" applyFill="1" applyBorder="1" applyAlignment="1">
      <alignment horizontal="right" vertical="center" wrapText="1"/>
    </xf>
    <xf numFmtId="2" fontId="11" fillId="2" borderId="8" xfId="1" applyNumberFormat="1" applyFont="1" applyFill="1" applyBorder="1" applyAlignment="1">
      <alignment horizontal="right"/>
    </xf>
    <xf numFmtId="2" fontId="30" fillId="0" borderId="8" xfId="0" applyNumberFormat="1" applyFont="1" applyBorder="1" applyAlignment="1">
      <alignment horizontal="right" vertical="center" wrapText="1"/>
    </xf>
    <xf numFmtId="2" fontId="30" fillId="2" borderId="8" xfId="0" applyNumberFormat="1" applyFont="1" applyFill="1" applyBorder="1" applyAlignment="1">
      <alignment horizontal="right" vertical="center" wrapText="1"/>
    </xf>
    <xf numFmtId="43" fontId="30" fillId="2" borderId="8" xfId="1" applyFont="1" applyFill="1" applyBorder="1" applyAlignment="1">
      <alignment horizontal="right" vertical="center" wrapText="1"/>
    </xf>
    <xf numFmtId="4" fontId="30" fillId="0" borderId="8" xfId="13" applyNumberFormat="1" applyFont="1" applyFill="1" applyBorder="1" applyAlignment="1">
      <alignment horizontal="right" vertical="center" wrapText="1"/>
    </xf>
    <xf numFmtId="43" fontId="30" fillId="0" borderId="8" xfId="1" applyFont="1" applyFill="1" applyBorder="1" applyAlignment="1">
      <alignment horizontal="right" vertical="center" wrapText="1"/>
    </xf>
    <xf numFmtId="4" fontId="30" fillId="0" borderId="9" xfId="13" applyNumberFormat="1" applyFont="1" applyFill="1" applyBorder="1" applyAlignment="1">
      <alignment horizontal="right" vertical="center" wrapText="1"/>
    </xf>
    <xf numFmtId="4" fontId="52" fillId="0" borderId="8" xfId="0" applyNumberFormat="1" applyFont="1" applyBorder="1" applyAlignment="1">
      <alignment horizontal="right" vertical="center" wrapText="1"/>
    </xf>
    <xf numFmtId="0" fontId="11" fillId="2" borderId="19" xfId="0" applyFont="1" applyFill="1" applyBorder="1" applyAlignment="1">
      <alignment horizontal="right" vertical="center" wrapText="1"/>
    </xf>
    <xf numFmtId="4" fontId="11" fillId="2" borderId="19" xfId="0" applyNumberFormat="1" applyFont="1" applyFill="1" applyBorder="1" applyAlignment="1">
      <alignment horizontal="right" vertical="center" wrapText="1"/>
    </xf>
    <xf numFmtId="2" fontId="51" fillId="2" borderId="12" xfId="1" applyNumberFormat="1" applyFont="1" applyFill="1" applyBorder="1" applyAlignment="1">
      <alignment horizontal="right" vertical="center" wrapText="1"/>
    </xf>
    <xf numFmtId="2" fontId="11" fillId="2" borderId="12" xfId="1" applyNumberFormat="1" applyFont="1" applyFill="1" applyBorder="1" applyAlignment="1">
      <alignment horizontal="right"/>
    </xf>
    <xf numFmtId="4" fontId="10" fillId="2" borderId="19" xfId="0" applyNumberFormat="1" applyFont="1" applyFill="1" applyBorder="1" applyAlignment="1">
      <alignment horizontal="right" vertical="center" wrapText="1"/>
    </xf>
    <xf numFmtId="4" fontId="10" fillId="2" borderId="21" xfId="0" applyNumberFormat="1" applyFont="1" applyFill="1" applyBorder="1" applyAlignment="1">
      <alignment horizontal="right" vertical="center" wrapText="1"/>
    </xf>
    <xf numFmtId="2" fontId="30" fillId="0" borderId="4" xfId="0" applyNumberFormat="1" applyFont="1" applyBorder="1" applyAlignment="1">
      <alignment horizontal="right" vertical="center" wrapText="1"/>
    </xf>
    <xf numFmtId="4" fontId="30" fillId="0" borderId="4" xfId="13" applyNumberFormat="1" applyFont="1" applyFill="1" applyBorder="1" applyAlignment="1">
      <alignment horizontal="right" vertical="center" wrapText="1"/>
    </xf>
    <xf numFmtId="43" fontId="30" fillId="0" borderId="4" xfId="1" applyFont="1" applyFill="1" applyBorder="1" applyAlignment="1">
      <alignment horizontal="right" vertical="center" wrapText="1"/>
    </xf>
    <xf numFmtId="4" fontId="30" fillId="0" borderId="5" xfId="13" applyNumberFormat="1" applyFont="1" applyFill="1" applyBorder="1" applyAlignment="1">
      <alignment horizontal="right" vertical="center" wrapText="1"/>
    </xf>
    <xf numFmtId="43" fontId="53" fillId="2" borderId="8" xfId="1" applyFont="1" applyFill="1" applyBorder="1" applyAlignment="1">
      <alignment horizontal="right" vertical="center" wrapText="1"/>
    </xf>
    <xf numFmtId="43" fontId="53" fillId="0" borderId="8" xfId="1" applyFont="1" applyFill="1" applyBorder="1" applyAlignment="1">
      <alignment horizontal="right" vertical="center" wrapText="1"/>
    </xf>
    <xf numFmtId="2" fontId="30" fillId="0" borderId="12" xfId="0" applyNumberFormat="1" applyFont="1" applyBorder="1" applyAlignment="1">
      <alignment horizontal="right" vertical="center" wrapText="1"/>
    </xf>
    <xf numFmtId="2" fontId="30" fillId="2" borderId="12" xfId="0" applyNumberFormat="1" applyFont="1" applyFill="1" applyBorder="1" applyAlignment="1">
      <alignment horizontal="right" vertical="center" wrapText="1"/>
    </xf>
    <xf numFmtId="43" fontId="30" fillId="2" borderId="12" xfId="1" applyFont="1" applyFill="1" applyBorder="1" applyAlignment="1">
      <alignment horizontal="right" vertical="center" wrapText="1"/>
    </xf>
    <xf numFmtId="4" fontId="30" fillId="0" borderId="12" xfId="13" applyNumberFormat="1" applyFont="1" applyFill="1" applyBorder="1" applyAlignment="1">
      <alignment horizontal="right" vertical="center" wrapText="1"/>
    </xf>
    <xf numFmtId="43" fontId="30" fillId="0" borderId="12" xfId="1" applyFont="1" applyFill="1" applyBorder="1" applyAlignment="1">
      <alignment horizontal="right" vertical="center" wrapText="1"/>
    </xf>
    <xf numFmtId="4" fontId="30" fillId="0" borderId="13" xfId="13" applyNumberFormat="1" applyFont="1" applyFill="1" applyBorder="1" applyAlignment="1">
      <alignment horizontal="right" vertical="center" wrapText="1"/>
    </xf>
    <xf numFmtId="4" fontId="10" fillId="2" borderId="4" xfId="0" applyNumberFormat="1" applyFont="1" applyFill="1" applyBorder="1" applyAlignment="1">
      <alignment horizontal="right" vertical="center" wrapText="1"/>
    </xf>
    <xf numFmtId="43" fontId="11" fillId="2" borderId="8" xfId="0" applyNumberFormat="1" applyFont="1" applyFill="1" applyBorder="1" applyAlignment="1">
      <alignment horizontal="right" vertical="center" wrapText="1"/>
    </xf>
    <xf numFmtId="43" fontId="11" fillId="2" borderId="12" xfId="0" applyNumberFormat="1" applyFont="1" applyFill="1" applyBorder="1" applyAlignment="1">
      <alignment horizontal="right" vertical="center" wrapText="1"/>
    </xf>
    <xf numFmtId="2" fontId="11" fillId="2" borderId="5" xfId="1" applyNumberFormat="1" applyFont="1" applyFill="1" applyBorder="1" applyAlignment="1">
      <alignment horizontal="right"/>
    </xf>
    <xf numFmtId="4" fontId="35" fillId="0" borderId="8" xfId="0" applyNumberFormat="1" applyFont="1" applyBorder="1" applyAlignment="1">
      <alignment horizontal="right" vertical="center" wrapText="1"/>
    </xf>
    <xf numFmtId="4" fontId="32" fillId="0" borderId="8" xfId="1" applyNumberFormat="1" applyFont="1" applyFill="1" applyBorder="1" applyAlignment="1">
      <alignment horizontal="right" vertical="center" wrapText="1"/>
    </xf>
    <xf numFmtId="4" fontId="35" fillId="0" borderId="8" xfId="1" applyNumberFormat="1" applyFont="1" applyFill="1" applyBorder="1" applyAlignment="1">
      <alignment horizontal="right" vertical="center" wrapText="1"/>
    </xf>
    <xf numFmtId="2" fontId="33" fillId="2" borderId="4" xfId="0" applyNumberFormat="1" applyFont="1" applyFill="1" applyBorder="1" applyAlignment="1">
      <alignment horizontal="right" vertical="center" wrapText="1"/>
    </xf>
    <xf numFmtId="2" fontId="34" fillId="2" borderId="4" xfId="0" applyNumberFormat="1" applyFont="1" applyFill="1" applyBorder="1" applyAlignment="1">
      <alignment horizontal="right" vertical="center" wrapText="1"/>
    </xf>
    <xf numFmtId="169" fontId="32" fillId="2" borderId="4" xfId="13" applyFont="1" applyFill="1" applyBorder="1" applyAlignment="1">
      <alignment horizontal="right" vertical="center" wrapText="1"/>
    </xf>
    <xf numFmtId="169" fontId="34" fillId="2" borderId="4" xfId="13" applyFont="1" applyFill="1" applyBorder="1" applyAlignment="1">
      <alignment horizontal="right" vertical="center" wrapText="1"/>
    </xf>
    <xf numFmtId="169" fontId="34" fillId="2" borderId="5" xfId="13" applyFont="1" applyFill="1" applyBorder="1" applyAlignment="1">
      <alignment horizontal="right" vertical="center" wrapText="1"/>
    </xf>
    <xf numFmtId="171" fontId="11" fillId="2" borderId="8" xfId="0" applyNumberFormat="1" applyFont="1" applyFill="1" applyBorder="1" applyAlignment="1">
      <alignment horizontal="right" vertical="center" wrapText="1"/>
    </xf>
    <xf numFmtId="171" fontId="10" fillId="2" borderId="8" xfId="0" applyNumberFormat="1" applyFont="1" applyFill="1" applyBorder="1" applyAlignment="1">
      <alignment horizontal="right" vertical="center" wrapText="1"/>
    </xf>
    <xf numFmtId="171" fontId="10" fillId="2" borderId="9" xfId="0" applyNumberFormat="1" applyFont="1" applyFill="1" applyBorder="1" applyAlignment="1">
      <alignment horizontal="right" vertical="center" wrapText="1"/>
    </xf>
    <xf numFmtId="0" fontId="16" fillId="0" borderId="8" xfId="0" applyFont="1" applyBorder="1" applyAlignment="1">
      <alignment horizontal="right"/>
    </xf>
    <xf numFmtId="0" fontId="11" fillId="2" borderId="10" xfId="0" applyFont="1" applyFill="1" applyBorder="1" applyAlignment="1">
      <alignment horizontal="right" vertical="center" wrapText="1"/>
    </xf>
    <xf numFmtId="171" fontId="11" fillId="2" borderId="10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Border="1" applyAlignment="1">
      <alignment horizontal="right" vertical="center" wrapText="1"/>
    </xf>
    <xf numFmtId="171" fontId="10" fillId="2" borderId="10" xfId="0" applyNumberFormat="1" applyFont="1" applyFill="1" applyBorder="1" applyAlignment="1">
      <alignment horizontal="right" vertical="center" wrapText="1"/>
    </xf>
    <xf numFmtId="171" fontId="10" fillId="2" borderId="15" xfId="0" applyNumberFormat="1" applyFont="1" applyFill="1" applyBorder="1" applyAlignment="1">
      <alignment horizontal="right" vertical="center" wrapText="1"/>
    </xf>
    <xf numFmtId="4" fontId="11" fillId="2" borderId="4" xfId="0" applyNumberFormat="1" applyFont="1" applyFill="1" applyBorder="1" applyAlignment="1">
      <alignment horizontal="right" vertical="center" wrapText="1"/>
    </xf>
    <xf numFmtId="4" fontId="11" fillId="0" borderId="8" xfId="0" applyNumberFormat="1" applyFont="1" applyBorder="1" applyAlignment="1">
      <alignment horizontal="right" vertical="center" wrapText="1"/>
    </xf>
    <xf numFmtId="4" fontId="11" fillId="0" borderId="12" xfId="0" applyNumberFormat="1" applyFont="1" applyBorder="1" applyAlignment="1">
      <alignment horizontal="right" vertical="center" wrapText="1"/>
    </xf>
    <xf numFmtId="0" fontId="7" fillId="2" borderId="10" xfId="0" applyFont="1" applyFill="1" applyBorder="1" applyAlignment="1">
      <alignment horizontal="right" vertical="center" wrapText="1"/>
    </xf>
    <xf numFmtId="4" fontId="4" fillId="2" borderId="10" xfId="0" applyNumberFormat="1" applyFont="1" applyFill="1" applyBorder="1" applyAlignment="1">
      <alignment horizontal="right" vertical="center" wrapText="1"/>
    </xf>
    <xf numFmtId="4" fontId="4" fillId="2" borderId="15" xfId="0" applyNumberFormat="1" applyFont="1" applyFill="1" applyBorder="1" applyAlignment="1">
      <alignment horizontal="right" vertical="center" wrapText="1"/>
    </xf>
    <xf numFmtId="4" fontId="11" fillId="0" borderId="4" xfId="0" applyNumberFormat="1" applyFont="1" applyBorder="1" applyAlignment="1">
      <alignment horizontal="right" vertical="center" wrapText="1"/>
    </xf>
    <xf numFmtId="4" fontId="18" fillId="2" borderId="10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2" fontId="11" fillId="2" borderId="10" xfId="1" applyNumberFormat="1" applyFont="1" applyFill="1" applyBorder="1" applyAlignment="1">
      <alignment horizontal="right"/>
    </xf>
    <xf numFmtId="2" fontId="11" fillId="2" borderId="15" xfId="1" applyNumberFormat="1" applyFont="1" applyFill="1" applyBorder="1" applyAlignment="1">
      <alignment horizontal="right"/>
    </xf>
    <xf numFmtId="4" fontId="11" fillId="2" borderId="9" xfId="0" applyNumberFormat="1" applyFont="1" applyFill="1" applyBorder="1" applyAlignment="1">
      <alignment horizontal="right" vertical="center" wrapText="1"/>
    </xf>
    <xf numFmtId="4" fontId="11" fillId="2" borderId="13" xfId="0" applyNumberFormat="1" applyFont="1" applyFill="1" applyBorder="1" applyAlignment="1">
      <alignment horizontal="right" vertical="center" wrapText="1"/>
    </xf>
    <xf numFmtId="0" fontId="63" fillId="0" borderId="4" xfId="0" applyFont="1" applyBorder="1" applyAlignment="1">
      <alignment horizontal="right" vertical="center" wrapText="1"/>
    </xf>
    <xf numFmtId="2" fontId="61" fillId="0" borderId="4" xfId="0" applyNumberFormat="1" applyFont="1" applyBorder="1" applyAlignment="1">
      <alignment horizontal="right" vertical="center" wrapText="1"/>
    </xf>
    <xf numFmtId="43" fontId="60" fillId="0" borderId="4" xfId="1" applyFont="1" applyFill="1" applyBorder="1" applyAlignment="1">
      <alignment horizontal="right" vertical="center" wrapText="1"/>
    </xf>
    <xf numFmtId="43" fontId="60" fillId="0" borderId="5" xfId="1" applyFont="1" applyFill="1" applyBorder="1" applyAlignment="1">
      <alignment horizontal="right" vertical="center" wrapText="1"/>
    </xf>
    <xf numFmtId="0" fontId="63" fillId="0" borderId="8" xfId="0" applyFont="1" applyBorder="1" applyAlignment="1">
      <alignment horizontal="right" vertical="center" wrapText="1"/>
    </xf>
    <xf numFmtId="2" fontId="52" fillId="0" borderId="8" xfId="0" applyNumberFormat="1" applyFont="1" applyBorder="1" applyAlignment="1">
      <alignment horizontal="right" vertical="center" wrapText="1"/>
    </xf>
    <xf numFmtId="43" fontId="52" fillId="0" borderId="8" xfId="1" applyFont="1" applyFill="1" applyBorder="1" applyAlignment="1">
      <alignment horizontal="right" vertical="center" wrapText="1"/>
    </xf>
    <xf numFmtId="43" fontId="52" fillId="0" borderId="9" xfId="1" applyFont="1" applyFill="1" applyBorder="1" applyAlignment="1">
      <alignment horizontal="right" vertical="center" wrapText="1"/>
    </xf>
    <xf numFmtId="2" fontId="51" fillId="0" borderId="8" xfId="0" applyNumberFormat="1" applyFont="1" applyBorder="1" applyAlignment="1">
      <alignment horizontal="right" vertical="center" wrapText="1"/>
    </xf>
    <xf numFmtId="43" fontId="51" fillId="0" borderId="8" xfId="1" applyFont="1" applyFill="1" applyBorder="1" applyAlignment="1">
      <alignment horizontal="right" vertical="center" wrapText="1"/>
    </xf>
    <xf numFmtId="43" fontId="51" fillId="0" borderId="9" xfId="1" applyFont="1" applyFill="1" applyBorder="1" applyAlignment="1">
      <alignment horizontal="right" vertical="center" wrapText="1"/>
    </xf>
    <xf numFmtId="0" fontId="63" fillId="0" borderId="8" xfId="0" applyFont="1" applyBorder="1" applyAlignment="1">
      <alignment horizontal="right" wrapText="1"/>
    </xf>
    <xf numFmtId="0" fontId="63" fillId="0" borderId="12" xfId="0" applyFont="1" applyBorder="1" applyAlignment="1">
      <alignment horizontal="right" vertical="center" wrapText="1"/>
    </xf>
    <xf numFmtId="2" fontId="52" fillId="0" borderId="12" xfId="0" applyNumberFormat="1" applyFont="1" applyBorder="1" applyAlignment="1">
      <alignment horizontal="right" vertical="center" wrapText="1"/>
    </xf>
    <xf numFmtId="43" fontId="52" fillId="0" borderId="12" xfId="1" applyFont="1" applyFill="1" applyBorder="1" applyAlignment="1">
      <alignment horizontal="right" vertical="center" wrapText="1"/>
    </xf>
    <xf numFmtId="43" fontId="52" fillId="0" borderId="13" xfId="1" applyFont="1" applyFill="1" applyBorder="1" applyAlignment="1">
      <alignment horizontal="right" vertical="center" wrapText="1"/>
    </xf>
    <xf numFmtId="0" fontId="63" fillId="0" borderId="10" xfId="0" applyFont="1" applyBorder="1" applyAlignment="1">
      <alignment horizontal="right" vertical="center" wrapText="1"/>
    </xf>
    <xf numFmtId="2" fontId="61" fillId="0" borderId="10" xfId="0" applyNumberFormat="1" applyFont="1" applyBorder="1" applyAlignment="1">
      <alignment horizontal="right" vertical="center" wrapText="1"/>
    </xf>
    <xf numFmtId="43" fontId="60" fillId="0" borderId="10" xfId="1" applyFont="1" applyFill="1" applyBorder="1" applyAlignment="1">
      <alignment horizontal="right" vertical="center" wrapText="1"/>
    </xf>
    <xf numFmtId="43" fontId="60" fillId="0" borderId="15" xfId="1" applyFont="1" applyFill="1" applyBorder="1" applyAlignment="1">
      <alignment horizontal="right" vertical="center" wrapText="1"/>
    </xf>
    <xf numFmtId="0" fontId="63" fillId="0" borderId="19" xfId="0" applyFont="1" applyBorder="1" applyAlignment="1">
      <alignment horizontal="right" vertical="center" wrapText="1"/>
    </xf>
    <xf numFmtId="2" fontId="52" fillId="0" borderId="19" xfId="0" applyNumberFormat="1" applyFont="1" applyBorder="1" applyAlignment="1">
      <alignment horizontal="right" vertical="center" wrapText="1"/>
    </xf>
    <xf numFmtId="43" fontId="52" fillId="0" borderId="19" xfId="1" applyFont="1" applyFill="1" applyBorder="1" applyAlignment="1">
      <alignment horizontal="right" vertical="center" wrapText="1"/>
    </xf>
    <xf numFmtId="43" fontId="52" fillId="0" borderId="21" xfId="1" applyFont="1" applyFill="1" applyBorder="1" applyAlignment="1">
      <alignment horizontal="right" vertical="center" wrapText="1"/>
    </xf>
    <xf numFmtId="0" fontId="0" fillId="0" borderId="16" xfId="0" applyBorder="1" applyAlignment="1">
      <alignment horizontal="right"/>
    </xf>
    <xf numFmtId="2" fontId="0" fillId="0" borderId="16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43" fontId="0" fillId="0" borderId="5" xfId="1" applyFont="1" applyBorder="1" applyAlignment="1">
      <alignment horizontal="right"/>
    </xf>
    <xf numFmtId="0" fontId="0" fillId="0" borderId="8" xfId="0" applyBorder="1" applyAlignment="1">
      <alignment horizontal="right"/>
    </xf>
    <xf numFmtId="43" fontId="0" fillId="0" borderId="9" xfId="1" applyFont="1" applyBorder="1" applyAlignment="1">
      <alignment horizontal="right"/>
    </xf>
    <xf numFmtId="0" fontId="0" fillId="0" borderId="12" xfId="0" applyBorder="1" applyAlignment="1">
      <alignment horizontal="right"/>
    </xf>
    <xf numFmtId="43" fontId="0" fillId="0" borderId="13" xfId="1" applyFont="1" applyBorder="1" applyAlignment="1">
      <alignment horizontal="right"/>
    </xf>
    <xf numFmtId="43" fontId="0" fillId="0" borderId="17" xfId="1" applyFont="1" applyBorder="1" applyAlignment="1">
      <alignment horizontal="right"/>
    </xf>
    <xf numFmtId="0" fontId="0" fillId="0" borderId="0" xfId="0" applyAlignment="1">
      <alignment horizontal="right"/>
    </xf>
    <xf numFmtId="177" fontId="0" fillId="0" borderId="16" xfId="1" applyNumberFormat="1" applyFont="1" applyBorder="1"/>
    <xf numFmtId="0" fontId="0" fillId="8" borderId="0" xfId="0" applyFill="1"/>
    <xf numFmtId="0" fontId="16" fillId="0" borderId="31" xfId="0" applyFont="1" applyBorder="1"/>
    <xf numFmtId="0" fontId="7" fillId="0" borderId="31" xfId="0" applyFont="1" applyBorder="1" applyAlignment="1">
      <alignment horizontal="center" vertical="center" wrapText="1"/>
    </xf>
    <xf numFmtId="0" fontId="76" fillId="0" borderId="0" xfId="0" applyFont="1"/>
    <xf numFmtId="0" fontId="7" fillId="0" borderId="2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34" fillId="0" borderId="20" xfId="18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79" fillId="2" borderId="0" xfId="0" applyFont="1" applyFill="1"/>
    <xf numFmtId="0" fontId="33" fillId="0" borderId="3" xfId="0" applyFont="1" applyBorder="1" applyAlignment="1">
      <alignment horizontal="center" vertical="center" wrapText="1"/>
    </xf>
    <xf numFmtId="43" fontId="33" fillId="0" borderId="5" xfId="1" applyFont="1" applyFill="1" applyBorder="1" applyAlignment="1">
      <alignment horizontal="center" vertical="center" wrapText="1"/>
    </xf>
    <xf numFmtId="164" fontId="33" fillId="0" borderId="6" xfId="0" applyNumberFormat="1" applyFont="1" applyBorder="1" applyAlignment="1">
      <alignment horizontal="center" vertical="center"/>
    </xf>
    <xf numFmtId="164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42" fillId="0" borderId="3" xfId="0" applyFont="1" applyBorder="1" applyAlignment="1">
      <alignment horizontal="center" vertical="center" wrapText="1"/>
    </xf>
    <xf numFmtId="0" fontId="36" fillId="0" borderId="25" xfId="0" applyFont="1" applyBorder="1" applyAlignment="1">
      <alignment vertical="top" wrapText="1"/>
    </xf>
    <xf numFmtId="0" fontId="46" fillId="0" borderId="4" xfId="0" applyFont="1" applyBorder="1" applyAlignment="1">
      <alignment horizontal="center" vertical="center" wrapText="1"/>
    </xf>
    <xf numFmtId="4" fontId="18" fillId="0" borderId="4" xfId="0" applyNumberFormat="1" applyFont="1" applyBorder="1" applyAlignment="1">
      <alignment horizontal="right" vertical="center" wrapText="1"/>
    </xf>
    <xf numFmtId="4" fontId="55" fillId="0" borderId="4" xfId="0" applyNumberFormat="1" applyFont="1" applyBorder="1" applyAlignment="1">
      <alignment horizontal="right" vertical="center" wrapText="1"/>
    </xf>
    <xf numFmtId="2" fontId="51" fillId="0" borderId="4" xfId="1" applyNumberFormat="1" applyFont="1" applyFill="1" applyBorder="1" applyAlignment="1">
      <alignment horizontal="right" vertical="center" wrapText="1"/>
    </xf>
    <xf numFmtId="2" fontId="11" fillId="0" borderId="4" xfId="1" applyNumberFormat="1" applyFont="1" applyFill="1" applyBorder="1" applyAlignment="1">
      <alignment horizontal="right"/>
    </xf>
    <xf numFmtId="2" fontId="11" fillId="0" borderId="4" xfId="1" applyNumberFormat="1" applyFont="1" applyFill="1" applyBorder="1" applyAlignment="1">
      <alignment horizontal="right" vertical="center"/>
    </xf>
    <xf numFmtId="2" fontId="11" fillId="0" borderId="5" xfId="1" applyNumberFormat="1" applyFont="1" applyFill="1" applyBorder="1" applyAlignment="1">
      <alignment horizontal="right" vertical="center"/>
    </xf>
    <xf numFmtId="0" fontId="49" fillId="0" borderId="6" xfId="0" applyFont="1" applyBorder="1"/>
    <xf numFmtId="0" fontId="46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right" vertical="center" wrapText="1"/>
    </xf>
    <xf numFmtId="2" fontId="51" fillId="0" borderId="8" xfId="1" applyNumberFormat="1" applyFont="1" applyFill="1" applyBorder="1" applyAlignment="1">
      <alignment horizontal="right" vertical="center" wrapText="1"/>
    </xf>
    <xf numFmtId="2" fontId="11" fillId="0" borderId="8" xfId="1" applyNumberFormat="1" applyFont="1" applyFill="1" applyBorder="1" applyAlignment="1">
      <alignment horizontal="right"/>
    </xf>
    <xf numFmtId="2" fontId="11" fillId="0" borderId="9" xfId="1" applyNumberFormat="1" applyFont="1" applyFill="1" applyBorder="1" applyAlignment="1">
      <alignment horizontal="right"/>
    </xf>
    <xf numFmtId="4" fontId="46" fillId="0" borderId="8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wrapText="1"/>
    </xf>
    <xf numFmtId="2" fontId="10" fillId="0" borderId="8" xfId="1" applyNumberFormat="1" applyFont="1" applyFill="1" applyBorder="1" applyAlignment="1">
      <alignment horizontal="right" vertical="center" wrapText="1"/>
    </xf>
    <xf numFmtId="0" fontId="49" fillId="0" borderId="11" xfId="0" applyFont="1" applyBorder="1"/>
    <xf numFmtId="0" fontId="52" fillId="0" borderId="12" xfId="0" applyFont="1" applyBorder="1" applyAlignment="1">
      <alignment horizontal="left" vertical="center" wrapText="1"/>
    </xf>
    <xf numFmtId="4" fontId="46" fillId="0" borderId="12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right" vertical="center" wrapText="1"/>
    </xf>
    <xf numFmtId="2" fontId="51" fillId="0" borderId="12" xfId="1" applyNumberFormat="1" applyFont="1" applyFill="1" applyBorder="1" applyAlignment="1">
      <alignment horizontal="right" vertical="center" wrapText="1"/>
    </xf>
    <xf numFmtId="2" fontId="11" fillId="0" borderId="12" xfId="1" applyNumberFormat="1" applyFont="1" applyFill="1" applyBorder="1" applyAlignment="1">
      <alignment horizontal="right"/>
    </xf>
    <xf numFmtId="2" fontId="11" fillId="0" borderId="13" xfId="1" applyNumberFormat="1" applyFont="1" applyFill="1" applyBorder="1" applyAlignment="1">
      <alignment horizontal="right"/>
    </xf>
    <xf numFmtId="0" fontId="77" fillId="0" borderId="0" xfId="0" applyFont="1"/>
    <xf numFmtId="0" fontId="11" fillId="0" borderId="31" xfId="0" applyFont="1" applyBorder="1" applyAlignment="1">
      <alignment horizontal="center" vertical="center" wrapText="1"/>
    </xf>
    <xf numFmtId="4" fontId="50" fillId="0" borderId="0" xfId="0" applyNumberFormat="1" applyFont="1" applyAlignment="1">
      <alignment vertical="center"/>
    </xf>
    <xf numFmtId="0" fontId="78" fillId="0" borderId="0" xfId="0" applyFont="1"/>
    <xf numFmtId="4" fontId="10" fillId="0" borderId="8" xfId="0" applyNumberFormat="1" applyFont="1" applyBorder="1" applyAlignment="1">
      <alignment horizontal="right" vertical="center" wrapText="1"/>
    </xf>
    <xf numFmtId="4" fontId="10" fillId="0" borderId="9" xfId="0" applyNumberFormat="1" applyFont="1" applyBorder="1" applyAlignment="1">
      <alignment horizontal="right" vertical="center" wrapText="1"/>
    </xf>
    <xf numFmtId="0" fontId="69" fillId="0" borderId="39" xfId="0" applyFont="1" applyBorder="1" applyAlignment="1">
      <alignment horizontal="center" vertical="center" wrapText="1"/>
    </xf>
    <xf numFmtId="43" fontId="69" fillId="0" borderId="34" xfId="1" applyFont="1" applyBorder="1" applyAlignment="1">
      <alignment horizontal="left" vertical="center" wrapText="1"/>
    </xf>
    <xf numFmtId="43" fontId="69" fillId="0" borderId="34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left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" fontId="10" fillId="0" borderId="30" xfId="0" applyNumberFormat="1" applyFont="1" applyBorder="1" applyAlignment="1">
      <alignment horizontal="center" vertical="center" wrapText="1"/>
    </xf>
    <xf numFmtId="4" fontId="10" fillId="0" borderId="17" xfId="0" applyNumberFormat="1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center" vertical="center" wrapText="1"/>
    </xf>
    <xf numFmtId="43" fontId="33" fillId="0" borderId="4" xfId="1" applyFont="1" applyFill="1" applyBorder="1" applyAlignment="1">
      <alignment horizontal="center" vertical="center" wrapText="1"/>
    </xf>
    <xf numFmtId="164" fontId="33" fillId="0" borderId="11" xfId="0" applyNumberFormat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4" fontId="17" fillId="0" borderId="8" xfId="0" applyNumberFormat="1" applyFont="1" applyBorder="1" applyAlignment="1">
      <alignment horizontal="center" vertical="center" wrapText="1"/>
    </xf>
    <xf numFmtId="4" fontId="17" fillId="0" borderId="9" xfId="0" applyNumberFormat="1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" fontId="32" fillId="0" borderId="6" xfId="0" applyNumberFormat="1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0" fillId="6" borderId="28" xfId="0" applyFill="1" applyBorder="1"/>
    <xf numFmtId="0" fontId="0" fillId="6" borderId="27" xfId="0" applyFill="1" applyBorder="1"/>
    <xf numFmtId="43" fontId="0" fillId="6" borderId="27" xfId="1" applyFont="1" applyFill="1" applyBorder="1"/>
    <xf numFmtId="0" fontId="50" fillId="0" borderId="8" xfId="0" applyFont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43" fontId="10" fillId="2" borderId="8" xfId="0" applyNumberFormat="1" applyFont="1" applyFill="1" applyBorder="1" applyAlignment="1">
      <alignment horizontal="right" vertical="center" wrapText="1"/>
    </xf>
    <xf numFmtId="3" fontId="81" fillId="0" borderId="8" xfId="0" applyNumberFormat="1" applyFont="1" applyBorder="1" applyAlignment="1">
      <alignment horizontal="center" vertical="center" wrapText="1"/>
    </xf>
    <xf numFmtId="4" fontId="32" fillId="0" borderId="8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4" fontId="10" fillId="0" borderId="19" xfId="0" applyNumberFormat="1" applyFont="1" applyBorder="1" applyAlignment="1">
      <alignment horizontal="center" vertical="center" wrapText="1"/>
    </xf>
    <xf numFmtId="4" fontId="10" fillId="0" borderId="27" xfId="0" applyNumberFormat="1" applyFont="1" applyBorder="1" applyAlignment="1">
      <alignment horizontal="center" vertical="center" wrapText="1"/>
    </xf>
    <xf numFmtId="0" fontId="20" fillId="0" borderId="16" xfId="0" applyFont="1" applyBorder="1"/>
    <xf numFmtId="0" fontId="20" fillId="0" borderId="4" xfId="0" applyFont="1" applyBorder="1"/>
    <xf numFmtId="0" fontId="20" fillId="0" borderId="8" xfId="0" applyFont="1" applyBorder="1"/>
    <xf numFmtId="0" fontId="20" fillId="0" borderId="12" xfId="0" applyFont="1" applyBorder="1"/>
    <xf numFmtId="0" fontId="20" fillId="0" borderId="0" xfId="0" applyFont="1"/>
    <xf numFmtId="168" fontId="4" fillId="2" borderId="0" xfId="0" applyNumberFormat="1" applyFont="1" applyFill="1" applyAlignment="1">
      <alignment vertical="center"/>
    </xf>
    <xf numFmtId="4" fontId="7" fillId="2" borderId="4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center" vertical="center"/>
    </xf>
    <xf numFmtId="167" fontId="4" fillId="2" borderId="2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6" fontId="4" fillId="2" borderId="2" xfId="0" applyNumberFormat="1" applyFont="1" applyFill="1" applyBorder="1" applyAlignment="1">
      <alignment horizontal="center" vertical="center" wrapText="1"/>
    </xf>
    <xf numFmtId="166" fontId="4" fillId="2" borderId="0" xfId="0" applyNumberFormat="1" applyFont="1" applyFill="1" applyAlignment="1">
      <alignment horizontal="center" vertical="center" wrapText="1"/>
    </xf>
    <xf numFmtId="178" fontId="4" fillId="2" borderId="1" xfId="0" applyNumberFormat="1" applyFont="1" applyFill="1" applyBorder="1" applyAlignment="1">
      <alignment horizontal="center" vertical="center" wrapText="1"/>
    </xf>
    <xf numFmtId="167" fontId="4" fillId="2" borderId="0" xfId="0" applyNumberFormat="1" applyFont="1" applyFill="1" applyAlignment="1">
      <alignment horizontal="center" vertical="center"/>
    </xf>
    <xf numFmtId="3" fontId="14" fillId="0" borderId="19" xfId="0" quotePrefix="1" applyNumberFormat="1" applyFont="1" applyBorder="1" applyAlignment="1">
      <alignment horizontal="center" vertical="top" wrapText="1"/>
    </xf>
    <xf numFmtId="3" fontId="14" fillId="0" borderId="16" xfId="0" quotePrefix="1" applyNumberFormat="1" applyFont="1" applyBorder="1" applyAlignment="1">
      <alignment horizontal="center" vertical="top" wrapText="1"/>
    </xf>
    <xf numFmtId="177" fontId="0" fillId="0" borderId="17" xfId="1" applyNumberFormat="1" applyFont="1" applyBorder="1"/>
    <xf numFmtId="3" fontId="14" fillId="0" borderId="10" xfId="0" quotePrefix="1" applyNumberFormat="1" applyFont="1" applyBorder="1" applyAlignment="1">
      <alignment horizontal="center" vertical="top" wrapText="1"/>
    </xf>
    <xf numFmtId="166" fontId="4" fillId="2" borderId="1" xfId="0" applyNumberFormat="1" applyFont="1" applyFill="1" applyBorder="1" applyAlignment="1">
      <alignment horizontal="center" vertical="center" wrapText="1"/>
    </xf>
    <xf numFmtId="166" fontId="4" fillId="2" borderId="2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4" fillId="2" borderId="0" xfId="0" applyNumberFormat="1" applyFont="1" applyFill="1" applyAlignment="1">
      <alignment vertical="center"/>
    </xf>
    <xf numFmtId="0" fontId="62" fillId="0" borderId="31" xfId="0" applyFont="1" applyBorder="1" applyAlignment="1">
      <alignment horizontal="center"/>
    </xf>
    <xf numFmtId="0" fontId="62" fillId="0" borderId="0" xfId="0" applyFont="1" applyAlignment="1">
      <alignment horizontal="center"/>
    </xf>
    <xf numFmtId="165" fontId="4" fillId="0" borderId="0" xfId="0" applyNumberFormat="1" applyFont="1" applyAlignment="1">
      <alignment horizontal="left" vertical="center"/>
    </xf>
    <xf numFmtId="167" fontId="4" fillId="2" borderId="1" xfId="0" applyNumberFormat="1" applyFont="1" applyFill="1" applyBorder="1" applyAlignment="1">
      <alignment horizontal="center" vertical="center"/>
    </xf>
    <xf numFmtId="167" fontId="4" fillId="2" borderId="2" xfId="0" applyNumberFormat="1" applyFont="1" applyFill="1" applyBorder="1" applyAlignment="1">
      <alignment horizontal="center" vertical="center"/>
    </xf>
    <xf numFmtId="168" fontId="4" fillId="2" borderId="0" xfId="0" applyNumberFormat="1" applyFont="1" applyFill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7" fillId="0" borderId="0" xfId="0" applyFont="1" applyAlignment="1">
      <alignment horizontal="center" vertical="center" wrapText="1"/>
    </xf>
    <xf numFmtId="0" fontId="68" fillId="5" borderId="34" xfId="0" applyFont="1" applyFill="1" applyBorder="1" applyAlignment="1">
      <alignment horizontal="center" vertical="center" wrapText="1"/>
    </xf>
    <xf numFmtId="0" fontId="68" fillId="5" borderId="35" xfId="0" applyFont="1" applyFill="1" applyBorder="1" applyAlignment="1">
      <alignment horizontal="center" vertical="center" wrapText="1"/>
    </xf>
    <xf numFmtId="43" fontId="68" fillId="5" borderId="34" xfId="1" applyFont="1" applyFill="1" applyBorder="1" applyAlignment="1">
      <alignment horizontal="center" vertical="center" wrapText="1"/>
    </xf>
    <xf numFmtId="43" fontId="68" fillId="5" borderId="35" xfId="1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right" vertical="center" wrapText="1"/>
    </xf>
    <xf numFmtId="4" fontId="7" fillId="2" borderId="5" xfId="0" applyNumberFormat="1" applyFont="1" applyFill="1" applyBorder="1" applyAlignment="1">
      <alignment horizontal="right" vertical="center" wrapText="1"/>
    </xf>
    <xf numFmtId="4" fontId="7" fillId="2" borderId="21" xfId="0" applyNumberFormat="1" applyFont="1" applyFill="1" applyBorder="1" applyAlignment="1">
      <alignment horizontal="right" vertical="center" wrapText="1"/>
    </xf>
    <xf numFmtId="0" fontId="55" fillId="2" borderId="32" xfId="0" applyFont="1" applyFill="1" applyBorder="1" applyAlignment="1">
      <alignment horizontal="center" vertical="center"/>
    </xf>
    <xf numFmtId="0" fontId="55" fillId="2" borderId="14" xfId="0" applyFont="1" applyFill="1" applyBorder="1" applyAlignment="1">
      <alignment horizontal="center" vertical="center"/>
    </xf>
    <xf numFmtId="0" fontId="36" fillId="0" borderId="33" xfId="0" applyFont="1" applyBorder="1" applyAlignment="1">
      <alignment horizontal="left" vertical="center" wrapText="1"/>
    </xf>
    <xf numFmtId="0" fontId="36" fillId="0" borderId="10" xfId="0" applyFont="1" applyBorder="1" applyAlignment="1">
      <alignment horizontal="left" vertical="center" wrapText="1"/>
    </xf>
    <xf numFmtId="167" fontId="4" fillId="2" borderId="1" xfId="0" applyNumberFormat="1" applyFont="1" applyFill="1" applyBorder="1" applyAlignment="1">
      <alignment horizontal="right" vertical="center"/>
    </xf>
    <xf numFmtId="167" fontId="4" fillId="2" borderId="2" xfId="0" applyNumberFormat="1" applyFont="1" applyFill="1" applyBorder="1" applyAlignment="1">
      <alignment horizontal="right" vertical="center"/>
    </xf>
    <xf numFmtId="165" fontId="4" fillId="2" borderId="0" xfId="0" applyNumberFormat="1" applyFont="1" applyFill="1" applyAlignment="1">
      <alignment horizontal="right" vertical="center"/>
    </xf>
    <xf numFmtId="166" fontId="4" fillId="2" borderId="1" xfId="0" applyNumberFormat="1" applyFont="1" applyFill="1" applyBorder="1" applyAlignment="1">
      <alignment horizontal="right" vertical="center" wrapText="1"/>
    </xf>
    <xf numFmtId="166" fontId="4" fillId="2" borderId="2" xfId="0" applyNumberFormat="1" applyFont="1" applyFill="1" applyBorder="1" applyAlignment="1">
      <alignment horizontal="right" vertical="center" wrapText="1"/>
    </xf>
    <xf numFmtId="173" fontId="4" fillId="2" borderId="0" xfId="0" applyNumberFormat="1" applyFont="1" applyFill="1" applyAlignment="1">
      <alignment horizontal="right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4" fontId="7" fillId="2" borderId="19" xfId="0" applyNumberFormat="1" applyFont="1" applyFill="1" applyBorder="1" applyAlignment="1">
      <alignment horizontal="center" vertical="center" wrapText="1"/>
    </xf>
    <xf numFmtId="4" fontId="7" fillId="2" borderId="10" xfId="0" applyNumberFormat="1" applyFont="1" applyFill="1" applyBorder="1" applyAlignment="1">
      <alignment horizontal="center" vertical="center" wrapText="1"/>
    </xf>
  </cellXfs>
  <cellStyles count="26">
    <cellStyle name="Comma" xfId="1" builtinId="3"/>
    <cellStyle name="Comma 17" xfId="4" xr:uid="{00000000-0005-0000-0000-000001000000}"/>
    <cellStyle name="Comma 2" xfId="9" xr:uid="{00000000-0005-0000-0000-000002000000}"/>
    <cellStyle name="Comma 3" xfId="13" xr:uid="{75EA1DE7-ACC4-4C5C-97FA-D1C039AB883C}"/>
    <cellStyle name="Comma 3 2" xfId="17" xr:uid="{8E317E4E-1B80-4349-822A-EEFE2D04C771}"/>
    <cellStyle name="Currency" xfId="25" builtinId="4"/>
    <cellStyle name="Normal" xfId="0" builtinId="0"/>
    <cellStyle name="Normal 10" xfId="7" xr:uid="{00000000-0005-0000-0000-000005000000}"/>
    <cellStyle name="Normal 11 2" xfId="15" xr:uid="{98C9CDDF-D9A3-4346-B958-44FCB25A91E7}"/>
    <cellStyle name="Normal 2" xfId="14" xr:uid="{000E8E9B-475D-40F8-8396-708D67EFC246}"/>
    <cellStyle name="Normal 2 2" xfId="18" xr:uid="{B453D761-1CC8-454C-90ED-0C53BD4029A8}"/>
    <cellStyle name="Normal 2 3" xfId="20" xr:uid="{138DA92E-E015-48A1-9E8A-52E5ED5AFAFB}"/>
    <cellStyle name="Normal 2 4" xfId="22" xr:uid="{C51972E3-BD44-4283-825B-CB60FED746A0}"/>
    <cellStyle name="Normal 3" xfId="8" xr:uid="{00000000-0005-0000-0000-000006000000}"/>
    <cellStyle name="Normal 3 2" xfId="16" xr:uid="{909C99AE-3B09-4CB2-AC38-FA077228851E}"/>
    <cellStyle name="Normal 37 2" xfId="23" xr:uid="{616176E9-0DED-47E0-98DA-CB7D355E777D}"/>
    <cellStyle name="Normal 6" xfId="19" xr:uid="{117B1B90-8F8E-4E13-99AB-01608BA35FA9}"/>
    <cellStyle name="Normal_gare wyalsadfenigagarini 10" xfId="6" xr:uid="{00000000-0005-0000-0000-000007000000}"/>
    <cellStyle name="Percent" xfId="2" builtinId="5"/>
    <cellStyle name="Percent 2" xfId="24" xr:uid="{8365A338-86E3-4F4B-934E-5AAB08700D8C}"/>
    <cellStyle name="Percent 3" xfId="3" xr:uid="{00000000-0005-0000-0000-00000A000000}"/>
    <cellStyle name="Обычный 2" xfId="10" xr:uid="{00000000-0005-0000-0000-00000B000000}"/>
    <cellStyle name="Обычный 2 2" xfId="21" xr:uid="{DA86F624-2F68-4A67-AE9F-340A0FDF7091}"/>
    <cellStyle name="Обычный 2 5" xfId="11" xr:uid="{00000000-0005-0000-0000-00000C000000}"/>
    <cellStyle name="Обычный 2 6" xfId="12" xr:uid="{00000000-0005-0000-0000-00000D000000}"/>
    <cellStyle name="Обычный 4" xfId="5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3" Type="http://schemas.openxmlformats.org/officeDocument/2006/relationships/image" Target="../media/image10.emf"/><Relationship Id="rId7" Type="http://schemas.openxmlformats.org/officeDocument/2006/relationships/image" Target="../media/image14.emf"/><Relationship Id="rId12" Type="http://schemas.openxmlformats.org/officeDocument/2006/relationships/image" Target="../media/image19.emf"/><Relationship Id="rId2" Type="http://schemas.openxmlformats.org/officeDocument/2006/relationships/image" Target="../media/image9.emf"/><Relationship Id="rId16" Type="http://schemas.openxmlformats.org/officeDocument/2006/relationships/image" Target="../media/image23.emf"/><Relationship Id="rId1" Type="http://schemas.openxmlformats.org/officeDocument/2006/relationships/image" Target="../media/image8.emf"/><Relationship Id="rId6" Type="http://schemas.openxmlformats.org/officeDocument/2006/relationships/image" Target="../media/image13.emf"/><Relationship Id="rId11" Type="http://schemas.openxmlformats.org/officeDocument/2006/relationships/image" Target="../media/image18.emf"/><Relationship Id="rId5" Type="http://schemas.openxmlformats.org/officeDocument/2006/relationships/image" Target="../media/image12.emf"/><Relationship Id="rId15" Type="http://schemas.openxmlformats.org/officeDocument/2006/relationships/image" Target="../media/image22.emf"/><Relationship Id="rId10" Type="http://schemas.openxmlformats.org/officeDocument/2006/relationships/image" Target="../media/image17.emf"/><Relationship Id="rId4" Type="http://schemas.openxmlformats.org/officeDocument/2006/relationships/image" Target="../media/image11.emf"/><Relationship Id="rId9" Type="http://schemas.openxmlformats.org/officeDocument/2006/relationships/image" Target="../media/image16.emf"/><Relationship Id="rId14" Type="http://schemas.openxmlformats.org/officeDocument/2006/relationships/image" Target="../media/image2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emf"/><Relationship Id="rId2" Type="http://schemas.openxmlformats.org/officeDocument/2006/relationships/image" Target="../media/image25.emf"/><Relationship Id="rId1" Type="http://schemas.openxmlformats.org/officeDocument/2006/relationships/image" Target="../media/image24.emf"/><Relationship Id="rId5" Type="http://schemas.openxmlformats.org/officeDocument/2006/relationships/image" Target="../media/image28.emf"/><Relationship Id="rId4" Type="http://schemas.openxmlformats.org/officeDocument/2006/relationships/image" Target="../media/image27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emf"/><Relationship Id="rId3" Type="http://schemas.openxmlformats.org/officeDocument/2006/relationships/image" Target="../media/image31.emf"/><Relationship Id="rId7" Type="http://schemas.openxmlformats.org/officeDocument/2006/relationships/image" Target="../media/image35.emf"/><Relationship Id="rId2" Type="http://schemas.openxmlformats.org/officeDocument/2006/relationships/image" Target="../media/image30.emf"/><Relationship Id="rId1" Type="http://schemas.openxmlformats.org/officeDocument/2006/relationships/image" Target="../media/image29.emf"/><Relationship Id="rId6" Type="http://schemas.openxmlformats.org/officeDocument/2006/relationships/image" Target="../media/image34.emf"/><Relationship Id="rId5" Type="http://schemas.openxmlformats.org/officeDocument/2006/relationships/image" Target="../media/image33.emf"/><Relationship Id="rId4" Type="http://schemas.openxmlformats.org/officeDocument/2006/relationships/image" Target="../media/image3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1275521</xdr:colOff>
      <xdr:row>33</xdr:row>
      <xdr:rowOff>18018</xdr:rowOff>
    </xdr:from>
    <xdr:to>
      <xdr:col>19</xdr:col>
      <xdr:colOff>55080</xdr:colOff>
      <xdr:row>48</xdr:row>
      <xdr:rowOff>59371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9DEC4CBF-EF82-D96C-6D1C-4FA2D90A1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6195" y="8549105"/>
          <a:ext cx="4473521" cy="3155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569177</xdr:colOff>
      <xdr:row>51</xdr:row>
      <xdr:rowOff>360091</xdr:rowOff>
    </xdr:from>
    <xdr:to>
      <xdr:col>17</xdr:col>
      <xdr:colOff>206407</xdr:colOff>
      <xdr:row>64</xdr:row>
      <xdr:rowOff>478057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1DB0724-A8B1-4B98-B684-5EF0DFEBF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3689" y="12475426"/>
          <a:ext cx="4074672" cy="260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171451</xdr:colOff>
      <xdr:row>68</xdr:row>
      <xdr:rowOff>60797</xdr:rowOff>
    </xdr:from>
    <xdr:to>
      <xdr:col>15</xdr:col>
      <xdr:colOff>247650</xdr:colOff>
      <xdr:row>89</xdr:row>
      <xdr:rowOff>136970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EBF1097A-7940-E7F3-D782-6092F8F3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9701" y="16146141"/>
          <a:ext cx="3114674" cy="3921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882806</xdr:colOff>
      <xdr:row>15</xdr:row>
      <xdr:rowOff>174238</xdr:rowOff>
    </xdr:from>
    <xdr:to>
      <xdr:col>18</xdr:col>
      <xdr:colOff>172000</xdr:colOff>
      <xdr:row>30</xdr:row>
      <xdr:rowOff>22171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8DD8E2-A13C-43E7-82D3-D2206DCC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8172" y="4344329"/>
          <a:ext cx="2237902" cy="3433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1</xdr:colOff>
      <xdr:row>9</xdr:row>
      <xdr:rowOff>175467</xdr:rowOff>
    </xdr:from>
    <xdr:ext cx="2803071" cy="3165522"/>
    <xdr:pic>
      <xdr:nvPicPr>
        <xdr:cNvPr id="5" name="Picture 4">
          <a:extLst>
            <a:ext uri="{FF2B5EF4-FFF2-40B4-BE49-F238E27FC236}">
              <a16:creationId xmlns:a16="http://schemas.microsoft.com/office/drawing/2014/main" id="{82FEBCC9-1605-42B7-8C6B-03E68EFDF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81858" y="2080467"/>
          <a:ext cx="2803071" cy="3165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244928</xdr:colOff>
      <xdr:row>90</xdr:row>
      <xdr:rowOff>27214</xdr:rowOff>
    </xdr:from>
    <xdr:to>
      <xdr:col>16</xdr:col>
      <xdr:colOff>591502</xdr:colOff>
      <xdr:row>109</xdr:row>
      <xdr:rowOff>98856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C7533B7-E7DE-5C5A-E513-C45E4BB532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54705" t="2007"/>
        <a:stretch>
          <a:fillRect/>
        </a:stretch>
      </xdr:blipFill>
      <xdr:spPr>
        <a:xfrm>
          <a:off x="12913178" y="20148777"/>
          <a:ext cx="4005603" cy="3996894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69</xdr:row>
      <xdr:rowOff>0</xdr:rowOff>
    </xdr:from>
    <xdr:to>
      <xdr:col>21</xdr:col>
      <xdr:colOff>363855</xdr:colOff>
      <xdr:row>88</xdr:row>
      <xdr:rowOff>133349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92991E99-79FC-A06A-7FD7-AE1D5CA5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25950" y="16182975"/>
          <a:ext cx="2809875" cy="356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10</xdr:row>
      <xdr:rowOff>504825</xdr:rowOff>
    </xdr:from>
    <xdr:to>
      <xdr:col>19</xdr:col>
      <xdr:colOff>391989</xdr:colOff>
      <xdr:row>20</xdr:row>
      <xdr:rowOff>139519</xdr:rowOff>
    </xdr:to>
    <xdr:pic>
      <xdr:nvPicPr>
        <xdr:cNvPr id="6145" name="Picture 1">
          <a:extLst>
            <a:ext uri="{FF2B5EF4-FFF2-40B4-BE49-F238E27FC236}">
              <a16:creationId xmlns:a16="http://schemas.microsoft.com/office/drawing/2014/main" id="{81D6661F-F314-C9BC-4D51-627839F99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2562225"/>
          <a:ext cx="4379155" cy="2524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48</xdr:row>
      <xdr:rowOff>0</xdr:rowOff>
    </xdr:from>
    <xdr:to>
      <xdr:col>19</xdr:col>
      <xdr:colOff>0</xdr:colOff>
      <xdr:row>64</xdr:row>
      <xdr:rowOff>186</xdr:rowOff>
    </xdr:to>
    <xdr:pic>
      <xdr:nvPicPr>
        <xdr:cNvPr id="6147" name="Picture 3">
          <a:extLst>
            <a:ext uri="{FF2B5EF4-FFF2-40B4-BE49-F238E27FC236}">
              <a16:creationId xmlns:a16="http://schemas.microsoft.com/office/drawing/2014/main" id="{595BF3E4-CC10-5520-1F9D-4D1D9A4C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0782300"/>
          <a:ext cx="3990975" cy="323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49</xdr:row>
      <xdr:rowOff>0</xdr:rowOff>
    </xdr:from>
    <xdr:to>
      <xdr:col>18</xdr:col>
      <xdr:colOff>419100</xdr:colOff>
      <xdr:row>67</xdr:row>
      <xdr:rowOff>95250</xdr:rowOff>
    </xdr:to>
    <xdr:pic>
      <xdr:nvPicPr>
        <xdr:cNvPr id="6148" name="Picture 4">
          <a:extLst>
            <a:ext uri="{FF2B5EF4-FFF2-40B4-BE49-F238E27FC236}">
              <a16:creationId xmlns:a16="http://schemas.microsoft.com/office/drawing/2014/main" id="{26B906A2-5CEA-C76E-1727-475D4488D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7440275"/>
          <a:ext cx="3800475" cy="3686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19</xdr:col>
      <xdr:colOff>152400</xdr:colOff>
      <xdr:row>101</xdr:row>
      <xdr:rowOff>0</xdr:rowOff>
    </xdr:to>
    <xdr:pic>
      <xdr:nvPicPr>
        <xdr:cNvPr id="6150" name="Picture 6">
          <a:extLst>
            <a:ext uri="{FF2B5EF4-FFF2-40B4-BE49-F238E27FC236}">
              <a16:creationId xmlns:a16="http://schemas.microsoft.com/office/drawing/2014/main" id="{15772179-8C34-1CD9-AF1C-EF9ABC30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33737550"/>
          <a:ext cx="4143375" cy="358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116</xdr:row>
      <xdr:rowOff>0</xdr:rowOff>
    </xdr:from>
    <xdr:to>
      <xdr:col>19</xdr:col>
      <xdr:colOff>419100</xdr:colOff>
      <xdr:row>128</xdr:row>
      <xdr:rowOff>250789</xdr:rowOff>
    </xdr:to>
    <xdr:pic>
      <xdr:nvPicPr>
        <xdr:cNvPr id="6151" name="Picture 7">
          <a:extLst>
            <a:ext uri="{FF2B5EF4-FFF2-40B4-BE49-F238E27FC236}">
              <a16:creationId xmlns:a16="http://schemas.microsoft.com/office/drawing/2014/main" id="{3E52D007-6AFE-AD06-F2DE-3B9642860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40709850"/>
          <a:ext cx="4410075" cy="300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152</xdr:row>
      <xdr:rowOff>0</xdr:rowOff>
    </xdr:from>
    <xdr:to>
      <xdr:col>18</xdr:col>
      <xdr:colOff>571500</xdr:colOff>
      <xdr:row>165</xdr:row>
      <xdr:rowOff>95249</xdr:rowOff>
    </xdr:to>
    <xdr:pic>
      <xdr:nvPicPr>
        <xdr:cNvPr id="6152" name="Picture 8">
          <a:extLst>
            <a:ext uri="{FF2B5EF4-FFF2-40B4-BE49-F238E27FC236}">
              <a16:creationId xmlns:a16="http://schemas.microsoft.com/office/drawing/2014/main" id="{F12080D0-6C59-D88F-B228-6ED421D8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49291875"/>
          <a:ext cx="3952875" cy="3362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181</xdr:row>
      <xdr:rowOff>0</xdr:rowOff>
    </xdr:from>
    <xdr:to>
      <xdr:col>19</xdr:col>
      <xdr:colOff>38100</xdr:colOff>
      <xdr:row>193</xdr:row>
      <xdr:rowOff>266702</xdr:rowOff>
    </xdr:to>
    <xdr:pic>
      <xdr:nvPicPr>
        <xdr:cNvPr id="6153" name="Picture 9">
          <a:extLst>
            <a:ext uri="{FF2B5EF4-FFF2-40B4-BE49-F238E27FC236}">
              <a16:creationId xmlns:a16="http://schemas.microsoft.com/office/drawing/2014/main" id="{4F37BD61-0866-C8FE-DED8-AEB3F70E4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55559325"/>
          <a:ext cx="4029075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196</xdr:row>
      <xdr:rowOff>0</xdr:rowOff>
    </xdr:from>
    <xdr:to>
      <xdr:col>18</xdr:col>
      <xdr:colOff>152400</xdr:colOff>
      <xdr:row>212</xdr:row>
      <xdr:rowOff>124461</xdr:rowOff>
    </xdr:to>
    <xdr:pic>
      <xdr:nvPicPr>
        <xdr:cNvPr id="6154" name="Picture 10">
          <a:extLst>
            <a:ext uri="{FF2B5EF4-FFF2-40B4-BE49-F238E27FC236}">
              <a16:creationId xmlns:a16="http://schemas.microsoft.com/office/drawing/2014/main" id="{50DDF22B-7D92-7006-3441-8F63AE076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59026425"/>
          <a:ext cx="3533775" cy="3486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266150</xdr:colOff>
      <xdr:row>271</xdr:row>
      <xdr:rowOff>0</xdr:rowOff>
    </xdr:from>
    <xdr:to>
      <xdr:col>19</xdr:col>
      <xdr:colOff>304800</xdr:colOff>
      <xdr:row>288</xdr:row>
      <xdr:rowOff>60547</xdr:rowOff>
    </xdr:to>
    <xdr:pic>
      <xdr:nvPicPr>
        <xdr:cNvPr id="6162" name="Picture 18">
          <a:extLst>
            <a:ext uri="{FF2B5EF4-FFF2-40B4-BE49-F238E27FC236}">
              <a16:creationId xmlns:a16="http://schemas.microsoft.com/office/drawing/2014/main" id="{32998088-7554-E786-9361-29E656CC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58150" y="74129348"/>
          <a:ext cx="4047433" cy="4099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328</xdr:row>
      <xdr:rowOff>215348</xdr:rowOff>
    </xdr:from>
    <xdr:to>
      <xdr:col>19</xdr:col>
      <xdr:colOff>114300</xdr:colOff>
      <xdr:row>347</xdr:row>
      <xdr:rowOff>86220</xdr:rowOff>
    </xdr:to>
    <xdr:pic>
      <xdr:nvPicPr>
        <xdr:cNvPr id="6163" name="Picture 19">
          <a:extLst>
            <a:ext uri="{FF2B5EF4-FFF2-40B4-BE49-F238E27FC236}">
              <a16:creationId xmlns:a16="http://schemas.microsoft.com/office/drawing/2014/main" id="{299A899C-3F0E-18AA-8126-6B6BA5A4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0" y="86826587"/>
          <a:ext cx="4123083" cy="39421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372</xdr:row>
      <xdr:rowOff>0</xdr:rowOff>
    </xdr:from>
    <xdr:to>
      <xdr:col>18</xdr:col>
      <xdr:colOff>381000</xdr:colOff>
      <xdr:row>393</xdr:row>
      <xdr:rowOff>22858</xdr:rowOff>
    </xdr:to>
    <xdr:pic>
      <xdr:nvPicPr>
        <xdr:cNvPr id="6164" name="Picture 20">
          <a:extLst>
            <a:ext uri="{FF2B5EF4-FFF2-40B4-BE49-F238E27FC236}">
              <a16:creationId xmlns:a16="http://schemas.microsoft.com/office/drawing/2014/main" id="{904FD18D-4BE8-A03C-A8CC-65A88B47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95354775"/>
          <a:ext cx="3762375" cy="431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428</xdr:row>
      <xdr:rowOff>0</xdr:rowOff>
    </xdr:from>
    <xdr:to>
      <xdr:col>19</xdr:col>
      <xdr:colOff>152400</xdr:colOff>
      <xdr:row>447</xdr:row>
      <xdr:rowOff>100965</xdr:rowOff>
    </xdr:to>
    <xdr:pic>
      <xdr:nvPicPr>
        <xdr:cNvPr id="6166" name="Picture 22">
          <a:extLst>
            <a:ext uri="{FF2B5EF4-FFF2-40B4-BE49-F238E27FC236}">
              <a16:creationId xmlns:a16="http://schemas.microsoft.com/office/drawing/2014/main" id="{7FE02239-E255-A1AB-F6BE-24F4A2BE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07803950"/>
          <a:ext cx="4143375" cy="414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479</xdr:row>
      <xdr:rowOff>0</xdr:rowOff>
    </xdr:from>
    <xdr:to>
      <xdr:col>19</xdr:col>
      <xdr:colOff>152400</xdr:colOff>
      <xdr:row>494</xdr:row>
      <xdr:rowOff>281941</xdr:rowOff>
    </xdr:to>
    <xdr:pic>
      <xdr:nvPicPr>
        <xdr:cNvPr id="6167" name="Picture 23">
          <a:extLst>
            <a:ext uri="{FF2B5EF4-FFF2-40B4-BE49-F238E27FC236}">
              <a16:creationId xmlns:a16="http://schemas.microsoft.com/office/drawing/2014/main" id="{FB65F885-AB22-FF85-41EA-6C6E71C7E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82475" y="118814850"/>
          <a:ext cx="4143375" cy="346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508</xdr:row>
      <xdr:rowOff>0</xdr:rowOff>
    </xdr:from>
    <xdr:to>
      <xdr:col>18</xdr:col>
      <xdr:colOff>15240</xdr:colOff>
      <xdr:row>523</xdr:row>
      <xdr:rowOff>22388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280C50-3994-4B74-85E3-0D26B13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132359400"/>
          <a:ext cx="2781300" cy="3022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236</xdr:row>
      <xdr:rowOff>0</xdr:rowOff>
    </xdr:from>
    <xdr:to>
      <xdr:col>19</xdr:col>
      <xdr:colOff>419100</xdr:colOff>
      <xdr:row>255</xdr:row>
      <xdr:rowOff>266700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id="{312F9086-A44D-4608-87D6-7473370A5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92075" y="66255900"/>
          <a:ext cx="3800475" cy="414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19</xdr:col>
      <xdr:colOff>114300</xdr:colOff>
      <xdr:row>36</xdr:row>
      <xdr:rowOff>165631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4A40631D-B9AD-4524-8041-81024FB0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6758" y="5589396"/>
          <a:ext cx="4140620" cy="2960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114299</xdr:colOff>
      <xdr:row>11</xdr:row>
      <xdr:rowOff>203342</xdr:rowOff>
    </xdr:from>
    <xdr:to>
      <xdr:col>17</xdr:col>
      <xdr:colOff>178126</xdr:colOff>
      <xdr:row>26</xdr:row>
      <xdr:rowOff>140739</xdr:rowOff>
    </xdr:to>
    <xdr:pic>
      <xdr:nvPicPr>
        <xdr:cNvPr id="7170" name="Picture 2">
          <a:extLst>
            <a:ext uri="{FF2B5EF4-FFF2-40B4-BE49-F238E27FC236}">
              <a16:creationId xmlns:a16="http://schemas.microsoft.com/office/drawing/2014/main" id="{710C4449-45BA-31B2-49A6-EC2ED2CD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0086" y="3103651"/>
          <a:ext cx="3256907" cy="3151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26</xdr:row>
      <xdr:rowOff>0</xdr:rowOff>
    </xdr:from>
    <xdr:to>
      <xdr:col>17</xdr:col>
      <xdr:colOff>1130627</xdr:colOff>
      <xdr:row>41</xdr:row>
      <xdr:rowOff>130888</xdr:rowOff>
    </xdr:to>
    <xdr:pic>
      <xdr:nvPicPr>
        <xdr:cNvPr id="7171" name="Picture 3">
          <a:extLst>
            <a:ext uri="{FF2B5EF4-FFF2-40B4-BE49-F238E27FC236}">
              <a16:creationId xmlns:a16="http://schemas.microsoft.com/office/drawing/2014/main" id="{E86C57ED-2522-1304-1E92-ED26FE65D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5787" y="6110983"/>
          <a:ext cx="4323707" cy="3108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17</xdr:col>
      <xdr:colOff>899159</xdr:colOff>
      <xdr:row>31</xdr:row>
      <xdr:rowOff>282116</xdr:rowOff>
    </xdr:to>
    <xdr:pic>
      <xdr:nvPicPr>
        <xdr:cNvPr id="7177" name="Picture 9">
          <a:extLst>
            <a:ext uri="{FF2B5EF4-FFF2-40B4-BE49-F238E27FC236}">
              <a16:creationId xmlns:a16="http://schemas.microsoft.com/office/drawing/2014/main" id="{C8517B69-0FE8-4D71-FDA6-432A1FD12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24860250"/>
          <a:ext cx="4095750" cy="3400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419100</xdr:colOff>
      <xdr:row>43</xdr:row>
      <xdr:rowOff>1</xdr:rowOff>
    </xdr:from>
    <xdr:to>
      <xdr:col>17</xdr:col>
      <xdr:colOff>2000249</xdr:colOff>
      <xdr:row>55</xdr:row>
      <xdr:rowOff>169049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DB958F5E-C866-469C-8213-9F7819FD1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9334501"/>
          <a:ext cx="4772024" cy="25312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266700</xdr:colOff>
      <xdr:row>54</xdr:row>
      <xdr:rowOff>0</xdr:rowOff>
    </xdr:from>
    <xdr:to>
      <xdr:col>17</xdr:col>
      <xdr:colOff>288167</xdr:colOff>
      <xdr:row>70</xdr:row>
      <xdr:rowOff>72476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DDA78B66-CBD2-458E-9886-7DE5F3ABC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8650" y="15801976"/>
          <a:ext cx="3827657" cy="333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91</xdr:row>
      <xdr:rowOff>0</xdr:rowOff>
    </xdr:from>
    <xdr:ext cx="5095874" cy="3019425"/>
    <xdr:pic>
      <xdr:nvPicPr>
        <xdr:cNvPr id="3" name="Picture 8">
          <a:extLst>
            <a:ext uri="{FF2B5EF4-FFF2-40B4-BE49-F238E27FC236}">
              <a16:creationId xmlns:a16="http://schemas.microsoft.com/office/drawing/2014/main" id="{654EA0C8-6FAA-4ED4-A4D5-FC99C869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19831050"/>
          <a:ext cx="5095874" cy="301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109</xdr:row>
      <xdr:rowOff>0</xdr:rowOff>
    </xdr:from>
    <xdr:ext cx="3186380" cy="2828925"/>
    <xdr:pic>
      <xdr:nvPicPr>
        <xdr:cNvPr id="4" name="Picture 4">
          <a:extLst>
            <a:ext uri="{FF2B5EF4-FFF2-40B4-BE49-F238E27FC236}">
              <a16:creationId xmlns:a16="http://schemas.microsoft.com/office/drawing/2014/main" id="{444F94D2-3212-4F73-9B8F-05BE366B1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8972550"/>
          <a:ext cx="3186380" cy="2828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0</xdr:colOff>
      <xdr:row>152</xdr:row>
      <xdr:rowOff>0</xdr:rowOff>
    </xdr:from>
    <xdr:ext cx="4067174" cy="3209924"/>
    <xdr:pic>
      <xdr:nvPicPr>
        <xdr:cNvPr id="5" name="Picture 5">
          <a:extLst>
            <a:ext uri="{FF2B5EF4-FFF2-40B4-BE49-F238E27FC236}">
              <a16:creationId xmlns:a16="http://schemas.microsoft.com/office/drawing/2014/main" id="{42D96598-978D-4841-AB60-62E168917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12211050"/>
          <a:ext cx="4067174" cy="3209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0</xdr:colOff>
      <xdr:row>13</xdr:row>
      <xdr:rowOff>0</xdr:rowOff>
    </xdr:from>
    <xdr:ext cx="4449905" cy="3733800"/>
    <xdr:pic>
      <xdr:nvPicPr>
        <xdr:cNvPr id="8" name="Picture 1">
          <a:extLst>
            <a:ext uri="{FF2B5EF4-FFF2-40B4-BE49-F238E27FC236}">
              <a16:creationId xmlns:a16="http://schemas.microsoft.com/office/drawing/2014/main" id="{99D448B3-B1E1-4600-87FF-AC2F8943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6650" y="3228975"/>
          <a:ext cx="4449905" cy="373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13</xdr:col>
      <xdr:colOff>485775</xdr:colOff>
      <xdr:row>34</xdr:row>
      <xdr:rowOff>70282</xdr:rowOff>
    </xdr:from>
    <xdr:to>
      <xdr:col>19</xdr:col>
      <xdr:colOff>209550</xdr:colOff>
      <xdr:row>48</xdr:row>
      <xdr:rowOff>94106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F83FD7E9-6BA2-4162-BAD0-FBB071DAEE5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07" r="46813"/>
        <a:stretch>
          <a:fillRect/>
        </a:stretch>
      </xdr:blipFill>
      <xdr:spPr bwMode="auto">
        <a:xfrm>
          <a:off x="10563225" y="10262032"/>
          <a:ext cx="3371850" cy="28203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0</xdr:colOff>
      <xdr:row>49</xdr:row>
      <xdr:rowOff>0</xdr:rowOff>
    </xdr:from>
    <xdr:ext cx="4600575" cy="4080608"/>
    <xdr:pic>
      <xdr:nvPicPr>
        <xdr:cNvPr id="10" name="Picture 24">
          <a:extLst>
            <a:ext uri="{FF2B5EF4-FFF2-40B4-BE49-F238E27FC236}">
              <a16:creationId xmlns:a16="http://schemas.microsoft.com/office/drawing/2014/main" id="{E52BBA63-C13D-4D3F-86C4-DAFD23390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87050" y="13268325"/>
          <a:ext cx="4600575" cy="4080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174</xdr:row>
      <xdr:rowOff>0</xdr:rowOff>
    </xdr:from>
    <xdr:ext cx="4347883" cy="3818403"/>
    <xdr:pic>
      <xdr:nvPicPr>
        <xdr:cNvPr id="2" name="Picture 5">
          <a:extLst>
            <a:ext uri="{FF2B5EF4-FFF2-40B4-BE49-F238E27FC236}">
              <a16:creationId xmlns:a16="http://schemas.microsoft.com/office/drawing/2014/main" id="{16737F03-8125-4AEE-BD04-665590BC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19059525"/>
          <a:ext cx="4347883" cy="3818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125</xdr:row>
      <xdr:rowOff>0</xdr:rowOff>
    </xdr:from>
    <xdr:ext cx="4159568" cy="3143250"/>
    <xdr:pic>
      <xdr:nvPicPr>
        <xdr:cNvPr id="6" name="Picture 1">
          <a:extLst>
            <a:ext uri="{FF2B5EF4-FFF2-40B4-BE49-F238E27FC236}">
              <a16:creationId xmlns:a16="http://schemas.microsoft.com/office/drawing/2014/main" id="{93151671-EC2D-48FB-B808-1646B623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0325" y="27908250"/>
          <a:ext cx="4159568" cy="3143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0000"/>
  </sheetPr>
  <dimension ref="A1:S701"/>
  <sheetViews>
    <sheetView topLeftCell="A676" zoomScaleNormal="100" workbookViewId="0">
      <selection activeCell="G684" sqref="G684"/>
    </sheetView>
  </sheetViews>
  <sheetFormatPr defaultColWidth="9.109375" defaultRowHeight="13.8" x14ac:dyDescent="0.3"/>
  <cols>
    <col min="1" max="1" width="7.33203125" style="64" customWidth="1"/>
    <col min="2" max="2" width="46.5546875" style="41" customWidth="1"/>
    <col min="3" max="3" width="7" style="65" customWidth="1"/>
    <col min="4" max="4" width="11.33203125" style="66" customWidth="1"/>
    <col min="5" max="5" width="12.44140625" style="67" customWidth="1"/>
    <col min="6" max="6" width="11.33203125" style="67" customWidth="1"/>
    <col min="7" max="7" width="18.6640625" style="66" customWidth="1"/>
    <col min="8" max="8" width="10.6640625" style="66" customWidth="1"/>
    <col min="9" max="9" width="16" style="66" customWidth="1"/>
    <col min="10" max="10" width="7.5546875" style="66" customWidth="1"/>
    <col min="11" max="11" width="11.33203125" style="66" customWidth="1"/>
    <col min="12" max="12" width="19.88671875" style="66" customWidth="1"/>
    <col min="13" max="13" width="9.109375" style="41"/>
    <col min="14" max="14" width="11.33203125" style="41" bestFit="1" customWidth="1"/>
    <col min="15" max="15" width="9.109375" style="41"/>
    <col min="16" max="16" width="11.5546875" style="41" customWidth="1"/>
    <col min="17" max="16384" width="9.109375" style="41"/>
  </cols>
  <sheetData>
    <row r="1" spans="1:12" s="1" customFormat="1" ht="15.6" x14ac:dyDescent="0.3">
      <c r="A1" s="676" t="s">
        <v>213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  <c r="L1" s="676"/>
    </row>
    <row r="2" spans="1:12" s="1" customFormat="1" ht="15.6" x14ac:dyDescent="0.3">
      <c r="A2" s="676" t="s">
        <v>146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</row>
    <row r="3" spans="1:12" s="1" customFormat="1" ht="14.4" x14ac:dyDescent="0.3">
      <c r="A3" s="677"/>
      <c r="B3" s="677"/>
      <c r="C3" s="677"/>
      <c r="D3" s="677"/>
      <c r="E3" s="678"/>
      <c r="F3" s="677"/>
      <c r="G3" s="677"/>
      <c r="H3" s="677"/>
      <c r="I3" s="677"/>
      <c r="J3" s="677"/>
      <c r="K3" s="677"/>
      <c r="L3" s="677"/>
    </row>
    <row r="4" spans="1:12" s="6" customFormat="1" ht="14.4" thickBot="1" x14ac:dyDescent="0.35">
      <c r="A4" s="2"/>
      <c r="B4" s="3"/>
      <c r="C4" s="2"/>
      <c r="D4" s="4"/>
      <c r="E4" s="89"/>
      <c r="F4" s="4"/>
      <c r="G4" s="5"/>
      <c r="H4" s="5"/>
      <c r="I4" s="5"/>
      <c r="J4" s="5"/>
      <c r="K4" s="5"/>
      <c r="L4" s="5"/>
    </row>
    <row r="5" spans="1:12" s="6" customFormat="1" ht="14.4" thickBot="1" x14ac:dyDescent="0.35">
      <c r="A5" s="7"/>
      <c r="B5" s="7"/>
      <c r="C5" s="7"/>
      <c r="D5" s="7"/>
      <c r="E5" s="90"/>
      <c r="F5" s="4"/>
      <c r="G5" s="5"/>
      <c r="H5" s="679" t="s">
        <v>0</v>
      </c>
      <c r="I5" s="679"/>
      <c r="J5" s="679"/>
      <c r="K5" s="674" t="e">
        <f>L587</f>
        <v>#REF!</v>
      </c>
      <c r="L5" s="675"/>
    </row>
    <row r="6" spans="1:12" s="6" customFormat="1" ht="14.4" thickBot="1" x14ac:dyDescent="0.35">
      <c r="A6" s="682"/>
      <c r="B6" s="682"/>
      <c r="C6" s="8"/>
      <c r="D6" s="9"/>
      <c r="E6" s="89"/>
      <c r="F6" s="4"/>
      <c r="G6" s="5"/>
      <c r="H6" s="5"/>
      <c r="I6" s="5"/>
      <c r="J6" s="5"/>
      <c r="K6" s="683" t="e">
        <f>K5/K8</f>
        <v>#REF!</v>
      </c>
      <c r="L6" s="684"/>
    </row>
    <row r="7" spans="1:12" s="6" customFormat="1" x14ac:dyDescent="0.3">
      <c r="A7" s="682"/>
      <c r="B7" s="682"/>
      <c r="C7" s="2"/>
      <c r="D7" s="4"/>
      <c r="E7" s="89"/>
      <c r="F7" s="4"/>
      <c r="G7" s="5"/>
      <c r="H7" s="5"/>
      <c r="I7" s="5"/>
      <c r="J7" s="5"/>
      <c r="K7" s="5"/>
      <c r="L7" s="5"/>
    </row>
    <row r="8" spans="1:12" s="6" customFormat="1" ht="14.4" thickBot="1" x14ac:dyDescent="0.35">
      <c r="A8" s="2"/>
      <c r="B8" s="3"/>
      <c r="C8" s="2"/>
      <c r="D8" s="4"/>
      <c r="E8" s="89"/>
      <c r="F8" s="4"/>
      <c r="G8" s="5"/>
      <c r="H8" s="5"/>
      <c r="I8" s="5"/>
      <c r="J8" s="5" t="s">
        <v>1</v>
      </c>
      <c r="K8" s="685" t="e">
        <f>#REF!</f>
        <v>#REF!</v>
      </c>
      <c r="L8" s="685"/>
    </row>
    <row r="9" spans="1:12" s="101" customFormat="1" ht="33.75" customHeight="1" x14ac:dyDescent="0.3">
      <c r="A9" s="693" t="s">
        <v>20</v>
      </c>
      <c r="B9" s="691" t="s">
        <v>21</v>
      </c>
      <c r="C9" s="691" t="s">
        <v>22</v>
      </c>
      <c r="D9" s="691" t="s">
        <v>23</v>
      </c>
      <c r="E9" s="691"/>
      <c r="F9" s="688" t="s">
        <v>4</v>
      </c>
      <c r="G9" s="688"/>
      <c r="H9" s="688" t="s">
        <v>5</v>
      </c>
      <c r="I9" s="688"/>
      <c r="J9" s="688" t="s">
        <v>24</v>
      </c>
      <c r="K9" s="688"/>
      <c r="L9" s="689" t="s">
        <v>6</v>
      </c>
    </row>
    <row r="10" spans="1:12" s="101" customFormat="1" ht="51.75" customHeight="1" x14ac:dyDescent="0.3">
      <c r="A10" s="694"/>
      <c r="B10" s="692"/>
      <c r="C10" s="692"/>
      <c r="D10" s="81" t="s">
        <v>25</v>
      </c>
      <c r="E10" s="81" t="s">
        <v>3</v>
      </c>
      <c r="F10" s="81" t="s">
        <v>26</v>
      </c>
      <c r="G10" s="81" t="s">
        <v>6</v>
      </c>
      <c r="H10" s="81" t="s">
        <v>26</v>
      </c>
      <c r="I10" s="81" t="s">
        <v>6</v>
      </c>
      <c r="J10" s="81" t="s">
        <v>26</v>
      </c>
      <c r="K10" s="81" t="s">
        <v>6</v>
      </c>
      <c r="L10" s="690"/>
    </row>
    <row r="11" spans="1:12" s="48" customFormat="1" ht="13.95" customHeight="1" x14ac:dyDescent="0.3">
      <c r="A11" s="42">
        <v>1</v>
      </c>
      <c r="B11" s="43">
        <v>2</v>
      </c>
      <c r="C11" s="43">
        <v>3</v>
      </c>
      <c r="D11" s="43">
        <v>4</v>
      </c>
      <c r="E11" s="44">
        <v>5</v>
      </c>
      <c r="F11" s="45">
        <v>6</v>
      </c>
      <c r="G11" s="46">
        <v>7</v>
      </c>
      <c r="H11" s="46">
        <v>8</v>
      </c>
      <c r="I11" s="46">
        <v>9</v>
      </c>
      <c r="J11" s="46">
        <v>10</v>
      </c>
      <c r="K11" s="46">
        <v>11</v>
      </c>
      <c r="L11" s="47">
        <v>12</v>
      </c>
    </row>
    <row r="12" spans="1:12" s="69" customFormat="1" ht="14.4" customHeight="1" x14ac:dyDescent="0.3">
      <c r="A12" s="70"/>
      <c r="B12" s="71" t="s">
        <v>31</v>
      </c>
      <c r="C12" s="71"/>
      <c r="D12" s="71"/>
      <c r="E12" s="72"/>
      <c r="F12" s="72"/>
      <c r="G12" s="72"/>
      <c r="H12" s="72"/>
      <c r="I12" s="72"/>
      <c r="J12" s="72"/>
      <c r="K12" s="72"/>
      <c r="L12" s="73"/>
    </row>
    <row r="13" spans="1:12" s="69" customFormat="1" ht="13.95" customHeight="1" x14ac:dyDescent="0.3">
      <c r="A13" s="68">
        <v>1</v>
      </c>
      <c r="B13" s="74" t="s">
        <v>205</v>
      </c>
      <c r="C13" s="75" t="s">
        <v>33</v>
      </c>
      <c r="D13" s="75"/>
      <c r="E13" s="76">
        <f>2914+260*6.8</f>
        <v>4682</v>
      </c>
      <c r="F13" s="76"/>
      <c r="G13" s="76"/>
      <c r="H13" s="76"/>
      <c r="I13" s="76"/>
      <c r="J13" s="76"/>
      <c r="K13" s="76"/>
      <c r="L13" s="77"/>
    </row>
    <row r="14" spans="1:12" s="69" customFormat="1" ht="13.95" customHeight="1" x14ac:dyDescent="0.3">
      <c r="A14" s="78"/>
      <c r="B14" s="24" t="s">
        <v>8</v>
      </c>
      <c r="C14" s="79" t="s">
        <v>33</v>
      </c>
      <c r="D14" s="79">
        <v>1</v>
      </c>
      <c r="E14" s="58">
        <f>E13*D14</f>
        <v>4682</v>
      </c>
      <c r="F14" s="58"/>
      <c r="G14" s="58"/>
      <c r="H14" s="58">
        <v>28</v>
      </c>
      <c r="I14" s="58">
        <f>H14*E14</f>
        <v>131096</v>
      </c>
      <c r="J14" s="58"/>
      <c r="K14" s="58"/>
      <c r="L14" s="57">
        <f>K14+I14+G14</f>
        <v>131096</v>
      </c>
    </row>
    <row r="15" spans="1:12" s="69" customFormat="1" ht="13.95" customHeight="1" x14ac:dyDescent="0.3">
      <c r="A15" s="78"/>
      <c r="B15" s="24" t="s">
        <v>10</v>
      </c>
      <c r="C15" s="79" t="s">
        <v>15</v>
      </c>
      <c r="D15" s="79">
        <v>0.2</v>
      </c>
      <c r="E15" s="58">
        <f>D15*E13</f>
        <v>936.40000000000009</v>
      </c>
      <c r="F15" s="58"/>
      <c r="G15" s="58"/>
      <c r="H15" s="58"/>
      <c r="I15" s="58"/>
      <c r="J15" s="58">
        <v>4</v>
      </c>
      <c r="K15" s="58">
        <f>J15*E15</f>
        <v>3745.6000000000004</v>
      </c>
      <c r="L15" s="57">
        <f>K15+I15+G15</f>
        <v>3745.6000000000004</v>
      </c>
    </row>
    <row r="16" spans="1:12" s="69" customFormat="1" ht="13.95" customHeight="1" x14ac:dyDescent="0.3">
      <c r="A16" s="78"/>
      <c r="B16" s="24" t="s">
        <v>12</v>
      </c>
      <c r="C16" s="79"/>
      <c r="D16" s="79"/>
      <c r="E16" s="58"/>
      <c r="F16" s="58"/>
      <c r="G16" s="58"/>
      <c r="H16" s="58"/>
      <c r="I16" s="58"/>
      <c r="J16" s="58"/>
      <c r="K16" s="58"/>
      <c r="L16" s="57">
        <f>K16+I16+G16</f>
        <v>0</v>
      </c>
    </row>
    <row r="17" spans="1:12" s="69" customFormat="1" ht="13.95" customHeight="1" x14ac:dyDescent="0.3">
      <c r="A17" s="78"/>
      <c r="B17" s="24" t="s">
        <v>207</v>
      </c>
      <c r="C17" s="79" t="s">
        <v>33</v>
      </c>
      <c r="D17" s="79">
        <v>1</v>
      </c>
      <c r="E17" s="58">
        <f>D17*E13</f>
        <v>4682</v>
      </c>
      <c r="F17" s="56">
        <v>67</v>
      </c>
      <c r="G17" s="56">
        <f>F17*E17</f>
        <v>313694</v>
      </c>
      <c r="H17" s="58"/>
      <c r="I17" s="58"/>
      <c r="J17" s="58"/>
      <c r="K17" s="58"/>
      <c r="L17" s="57">
        <f>K17+I17+G17</f>
        <v>313694</v>
      </c>
    </row>
    <row r="18" spans="1:12" s="69" customFormat="1" ht="13.95" customHeight="1" x14ac:dyDescent="0.3">
      <c r="A18" s="78"/>
      <c r="B18" s="24" t="s">
        <v>14</v>
      </c>
      <c r="C18" s="79" t="s">
        <v>15</v>
      </c>
      <c r="D18" s="79">
        <v>0.104</v>
      </c>
      <c r="E18" s="58">
        <f>D18*E13</f>
        <v>486.928</v>
      </c>
      <c r="F18" s="58">
        <v>4</v>
      </c>
      <c r="G18" s="56">
        <f>F18*E18</f>
        <v>1947.712</v>
      </c>
      <c r="H18" s="58"/>
      <c r="I18" s="58"/>
      <c r="J18" s="58"/>
      <c r="K18" s="58"/>
      <c r="L18" s="57">
        <f>K18+I18+G18</f>
        <v>1947.712</v>
      </c>
    </row>
    <row r="19" spans="1:12" s="69" customFormat="1" ht="13.95" customHeight="1" x14ac:dyDescent="0.3">
      <c r="A19" s="68">
        <v>2</v>
      </c>
      <c r="B19" s="74" t="s">
        <v>112</v>
      </c>
      <c r="C19" s="75" t="s">
        <v>33</v>
      </c>
      <c r="D19" s="75"/>
      <c r="E19" s="76">
        <f>2840.7+2266+1203.3</f>
        <v>6310</v>
      </c>
      <c r="F19" s="76"/>
      <c r="G19" s="76"/>
      <c r="H19" s="76"/>
      <c r="I19" s="76"/>
      <c r="J19" s="76"/>
      <c r="K19" s="76"/>
      <c r="L19" s="77"/>
    </row>
    <row r="20" spans="1:12" s="69" customFormat="1" ht="13.95" customHeight="1" x14ac:dyDescent="0.3">
      <c r="A20" s="78"/>
      <c r="B20" s="24" t="s">
        <v>8</v>
      </c>
      <c r="C20" s="79" t="s">
        <v>33</v>
      </c>
      <c r="D20" s="79">
        <v>1</v>
      </c>
      <c r="E20" s="58">
        <f>E19*D20</f>
        <v>6310</v>
      </c>
      <c r="F20" s="58"/>
      <c r="G20" s="58"/>
      <c r="H20" s="58">
        <f>20/1.18</f>
        <v>16.949152542372882</v>
      </c>
      <c r="I20" s="58">
        <f>H20*E20</f>
        <v>106949.15254237289</v>
      </c>
      <c r="J20" s="58"/>
      <c r="K20" s="58"/>
      <c r="L20" s="57">
        <f t="shared" ref="L20:L25" si="0">K20+I20+G20</f>
        <v>106949.15254237289</v>
      </c>
    </row>
    <row r="21" spans="1:12" s="69" customFormat="1" ht="13.95" customHeight="1" x14ac:dyDescent="0.3">
      <c r="A21" s="78"/>
      <c r="B21" s="24" t="s">
        <v>10</v>
      </c>
      <c r="C21" s="79" t="s">
        <v>15</v>
      </c>
      <c r="D21" s="79">
        <v>1.7000000000000001E-2</v>
      </c>
      <c r="E21" s="58">
        <f>D21*E19</f>
        <v>107.27000000000001</v>
      </c>
      <c r="F21" s="58"/>
      <c r="G21" s="58"/>
      <c r="H21" s="58"/>
      <c r="I21" s="58"/>
      <c r="J21" s="58">
        <v>4</v>
      </c>
      <c r="K21" s="58">
        <f>J21*E21</f>
        <v>429.08000000000004</v>
      </c>
      <c r="L21" s="57">
        <f t="shared" si="0"/>
        <v>429.08000000000004</v>
      </c>
    </row>
    <row r="22" spans="1:12" s="69" customFormat="1" ht="13.95" customHeight="1" x14ac:dyDescent="0.3">
      <c r="A22" s="78"/>
      <c r="B22" s="24" t="s">
        <v>12</v>
      </c>
      <c r="C22" s="79"/>
      <c r="D22" s="79"/>
      <c r="E22" s="58"/>
      <c r="F22" s="58"/>
      <c r="G22" s="58"/>
      <c r="H22" s="58"/>
      <c r="I22" s="58"/>
      <c r="J22" s="58"/>
      <c r="K22" s="58"/>
      <c r="L22" s="57">
        <f t="shared" si="0"/>
        <v>0</v>
      </c>
    </row>
    <row r="23" spans="1:12" s="69" customFormat="1" ht="13.95" customHeight="1" x14ac:dyDescent="0.3">
      <c r="A23" s="78"/>
      <c r="B23" s="24" t="s">
        <v>116</v>
      </c>
      <c r="C23" s="79" t="s">
        <v>27</v>
      </c>
      <c r="D23" s="79">
        <v>0.11</v>
      </c>
      <c r="E23" s="58">
        <f>D23*E19</f>
        <v>694.1</v>
      </c>
      <c r="F23" s="56">
        <f>195/1.18</f>
        <v>165.25423728813561</v>
      </c>
      <c r="G23" s="56">
        <f>F23*E23</f>
        <v>114702.96610169494</v>
      </c>
      <c r="H23" s="58"/>
      <c r="I23" s="58"/>
      <c r="J23" s="58"/>
      <c r="K23" s="58"/>
      <c r="L23" s="57">
        <f t="shared" si="0"/>
        <v>114702.96610169494</v>
      </c>
    </row>
    <row r="24" spans="1:12" s="69" customFormat="1" ht="13.95" customHeight="1" x14ac:dyDescent="0.3">
      <c r="A24" s="78"/>
      <c r="B24" s="24" t="s">
        <v>113</v>
      </c>
      <c r="C24" s="79" t="s">
        <v>33</v>
      </c>
      <c r="D24" s="79">
        <v>1.03</v>
      </c>
      <c r="E24" s="58">
        <f>D24*E19</f>
        <v>6499.3</v>
      </c>
      <c r="F24" s="56">
        <f>4/1.18</f>
        <v>3.3898305084745766</v>
      </c>
      <c r="G24" s="56">
        <f>F24*E24</f>
        <v>22031.525423728817</v>
      </c>
      <c r="H24" s="58"/>
      <c r="I24" s="58"/>
      <c r="J24" s="58"/>
      <c r="K24" s="58"/>
      <c r="L24" s="57">
        <f t="shared" si="0"/>
        <v>22031.525423728817</v>
      </c>
    </row>
    <row r="25" spans="1:12" s="69" customFormat="1" ht="13.95" customHeight="1" x14ac:dyDescent="0.3">
      <c r="A25" s="78"/>
      <c r="B25" s="24" t="s">
        <v>14</v>
      </c>
      <c r="C25" s="79" t="s">
        <v>15</v>
      </c>
      <c r="D25" s="79">
        <v>0.11</v>
      </c>
      <c r="E25" s="58">
        <f>D25*E19</f>
        <v>694.1</v>
      </c>
      <c r="F25" s="58">
        <v>4</v>
      </c>
      <c r="G25" s="56">
        <f>F25*E25</f>
        <v>2776.4</v>
      </c>
      <c r="H25" s="58"/>
      <c r="I25" s="58"/>
      <c r="J25" s="58"/>
      <c r="K25" s="58"/>
      <c r="L25" s="57">
        <f t="shared" si="0"/>
        <v>2776.4</v>
      </c>
    </row>
    <row r="26" spans="1:12" s="69" customFormat="1" ht="13.95" customHeight="1" x14ac:dyDescent="0.3">
      <c r="A26" s="68">
        <v>4</v>
      </c>
      <c r="B26" s="74" t="s">
        <v>32</v>
      </c>
      <c r="C26" s="75" t="s">
        <v>33</v>
      </c>
      <c r="D26" s="75"/>
      <c r="E26" s="76">
        <v>6310</v>
      </c>
      <c r="F26" s="76"/>
      <c r="G26" s="76"/>
      <c r="H26" s="76"/>
      <c r="I26" s="76"/>
      <c r="J26" s="76"/>
      <c r="K26" s="76"/>
      <c r="L26" s="77"/>
    </row>
    <row r="27" spans="1:12" s="69" customFormat="1" ht="13.95" customHeight="1" x14ac:dyDescent="0.3">
      <c r="A27" s="78"/>
      <c r="B27" s="24" t="s">
        <v>8</v>
      </c>
      <c r="C27" s="79" t="s">
        <v>33</v>
      </c>
      <c r="D27" s="79">
        <v>1</v>
      </c>
      <c r="E27" s="58">
        <f>E26</f>
        <v>6310</v>
      </c>
      <c r="F27" s="58"/>
      <c r="G27" s="58"/>
      <c r="H27" s="58">
        <f>10/1.18</f>
        <v>8.4745762711864412</v>
      </c>
      <c r="I27" s="58">
        <f>H27*E27</f>
        <v>53474.576271186445</v>
      </c>
      <c r="J27" s="58"/>
      <c r="K27" s="58"/>
      <c r="L27" s="57">
        <f>K27+I27+G27</f>
        <v>53474.576271186445</v>
      </c>
    </row>
    <row r="28" spans="1:12" s="69" customFormat="1" ht="13.95" customHeight="1" x14ac:dyDescent="0.3">
      <c r="A28" s="78"/>
      <c r="B28" s="24" t="s">
        <v>12</v>
      </c>
      <c r="C28" s="79"/>
      <c r="D28" s="79"/>
      <c r="E28" s="58"/>
      <c r="F28" s="58"/>
      <c r="G28" s="58"/>
      <c r="H28" s="58"/>
      <c r="I28" s="58"/>
      <c r="J28" s="58"/>
      <c r="K28" s="58"/>
      <c r="L28" s="57">
        <f>K28+I28+G28</f>
        <v>0</v>
      </c>
    </row>
    <row r="29" spans="1:12" s="69" customFormat="1" ht="13.95" customHeight="1" x14ac:dyDescent="0.3">
      <c r="A29" s="78"/>
      <c r="B29" s="24" t="s">
        <v>34</v>
      </c>
      <c r="C29" s="79" t="s">
        <v>9</v>
      </c>
      <c r="D29" s="79">
        <v>0.05</v>
      </c>
      <c r="E29" s="58">
        <f>D29*E26</f>
        <v>315.5</v>
      </c>
      <c r="F29" s="58">
        <f>45/1.18</f>
        <v>38.135593220338983</v>
      </c>
      <c r="G29" s="58">
        <f>F29*E29</f>
        <v>12031.77966101695</v>
      </c>
      <c r="H29" s="58"/>
      <c r="I29" s="58"/>
      <c r="J29" s="58"/>
      <c r="K29" s="58"/>
      <c r="L29" s="57">
        <f>K29+I29+G29</f>
        <v>12031.77966101695</v>
      </c>
    </row>
    <row r="30" spans="1:12" s="69" customFormat="1" ht="13.95" customHeight="1" x14ac:dyDescent="0.3">
      <c r="A30" s="78"/>
      <c r="B30" s="24" t="s">
        <v>29</v>
      </c>
      <c r="C30" s="79" t="s">
        <v>27</v>
      </c>
      <c r="D30" s="79">
        <v>0.2</v>
      </c>
      <c r="E30" s="58">
        <f>D30*E26</f>
        <v>1262</v>
      </c>
      <c r="F30" s="56">
        <v>4</v>
      </c>
      <c r="G30" s="58">
        <f>F30*E30</f>
        <v>5048</v>
      </c>
      <c r="H30" s="58"/>
      <c r="I30" s="58"/>
      <c r="J30" s="58"/>
      <c r="K30" s="58"/>
      <c r="L30" s="57">
        <f>K30+I30+G30</f>
        <v>5048</v>
      </c>
    </row>
    <row r="31" spans="1:12" s="69" customFormat="1" ht="27.6" customHeight="1" x14ac:dyDescent="0.3">
      <c r="A31" s="68">
        <f>A26+1</f>
        <v>5</v>
      </c>
      <c r="B31" s="74" t="s">
        <v>41</v>
      </c>
      <c r="C31" s="75" t="s">
        <v>33</v>
      </c>
      <c r="D31" s="75"/>
      <c r="E31" s="76">
        <f>60+151.5</f>
        <v>211.5</v>
      </c>
      <c r="F31" s="76"/>
      <c r="G31" s="76"/>
      <c r="H31" s="76"/>
      <c r="I31" s="76"/>
      <c r="J31" s="76"/>
      <c r="K31" s="76"/>
      <c r="L31" s="77"/>
    </row>
    <row r="32" spans="1:12" s="69" customFormat="1" ht="13.95" customHeight="1" x14ac:dyDescent="0.3">
      <c r="A32" s="78"/>
      <c r="B32" s="24" t="s">
        <v>8</v>
      </c>
      <c r="C32" s="79" t="s">
        <v>33</v>
      </c>
      <c r="D32" s="79">
        <v>1</v>
      </c>
      <c r="E32" s="58">
        <f>E31*D32</f>
        <v>211.5</v>
      </c>
      <c r="F32" s="58"/>
      <c r="G32" s="58"/>
      <c r="H32" s="58">
        <f>12/1.18</f>
        <v>10.16949152542373</v>
      </c>
      <c r="I32" s="58">
        <f>H32*E32</f>
        <v>2150.8474576271187</v>
      </c>
      <c r="J32" s="58"/>
      <c r="K32" s="58"/>
      <c r="L32" s="57">
        <f>K32+I32+G32</f>
        <v>2150.8474576271187</v>
      </c>
    </row>
    <row r="33" spans="1:12" s="69" customFormat="1" ht="13.95" customHeight="1" x14ac:dyDescent="0.3">
      <c r="A33" s="78"/>
      <c r="B33" s="24" t="s">
        <v>10</v>
      </c>
      <c r="C33" s="79" t="s">
        <v>15</v>
      </c>
      <c r="D33" s="79">
        <v>1.7000000000000001E-2</v>
      </c>
      <c r="E33" s="58">
        <f>D33*E31</f>
        <v>3.5955000000000004</v>
      </c>
      <c r="F33" s="58"/>
      <c r="G33" s="58"/>
      <c r="H33" s="58"/>
      <c r="I33" s="58"/>
      <c r="J33" s="58">
        <v>4</v>
      </c>
      <c r="K33" s="58">
        <f>J33*E33</f>
        <v>14.382000000000001</v>
      </c>
      <c r="L33" s="57">
        <f>K33+I33+G33</f>
        <v>14.382000000000001</v>
      </c>
    </row>
    <row r="34" spans="1:12" s="69" customFormat="1" ht="13.95" customHeight="1" x14ac:dyDescent="0.3">
      <c r="A34" s="78"/>
      <c r="B34" s="24" t="s">
        <v>12</v>
      </c>
      <c r="C34" s="79"/>
      <c r="D34" s="79"/>
      <c r="E34" s="58"/>
      <c r="F34" s="58"/>
      <c r="G34" s="58"/>
      <c r="H34" s="58"/>
      <c r="I34" s="58"/>
      <c r="J34" s="58"/>
      <c r="K34" s="58"/>
      <c r="L34" s="57">
        <f>K34+I34+G34</f>
        <v>0</v>
      </c>
    </row>
    <row r="35" spans="1:12" s="69" customFormat="1" ht="13.95" customHeight="1" x14ac:dyDescent="0.3">
      <c r="A35" s="78"/>
      <c r="B35" s="24" t="s">
        <v>35</v>
      </c>
      <c r="C35" s="79" t="s">
        <v>27</v>
      </c>
      <c r="D35" s="79">
        <v>0.11</v>
      </c>
      <c r="E35" s="58">
        <f>D35*E31</f>
        <v>23.265000000000001</v>
      </c>
      <c r="F35" s="56">
        <f>150/1.18</f>
        <v>127.11864406779662</v>
      </c>
      <c r="G35" s="56">
        <f>F35*E35</f>
        <v>2957.4152542372885</v>
      </c>
      <c r="H35" s="58"/>
      <c r="I35" s="58"/>
      <c r="J35" s="58"/>
      <c r="K35" s="58"/>
      <c r="L35" s="57">
        <f>K35+I35+G35</f>
        <v>2957.4152542372885</v>
      </c>
    </row>
    <row r="36" spans="1:12" s="69" customFormat="1" ht="13.95" customHeight="1" x14ac:dyDescent="0.3">
      <c r="A36" s="78"/>
      <c r="B36" s="24" t="s">
        <v>14</v>
      </c>
      <c r="C36" s="79" t="s">
        <v>15</v>
      </c>
      <c r="D36" s="79">
        <v>0.11</v>
      </c>
      <c r="E36" s="58">
        <f>D36*E31</f>
        <v>23.265000000000001</v>
      </c>
      <c r="F36" s="58">
        <v>4</v>
      </c>
      <c r="G36" s="56">
        <f>F36*E36</f>
        <v>93.06</v>
      </c>
      <c r="H36" s="58"/>
      <c r="I36" s="58"/>
      <c r="J36" s="58"/>
      <c r="K36" s="58"/>
      <c r="L36" s="57">
        <f>K36+I36+G36</f>
        <v>93.06</v>
      </c>
    </row>
    <row r="37" spans="1:12" s="69" customFormat="1" ht="27.6" customHeight="1" x14ac:dyDescent="0.3">
      <c r="A37" s="68">
        <f>A31+1</f>
        <v>6</v>
      </c>
      <c r="B37" s="74" t="s">
        <v>36</v>
      </c>
      <c r="C37" s="75" t="s">
        <v>33</v>
      </c>
      <c r="D37" s="75"/>
      <c r="E37" s="76">
        <f>E31</f>
        <v>211.5</v>
      </c>
      <c r="F37" s="76"/>
      <c r="G37" s="76"/>
      <c r="H37" s="76"/>
      <c r="I37" s="76"/>
      <c r="J37" s="76"/>
      <c r="K37" s="76"/>
      <c r="L37" s="77"/>
    </row>
    <row r="38" spans="1:12" s="69" customFormat="1" ht="13.95" customHeight="1" x14ac:dyDescent="0.3">
      <c r="A38" s="78"/>
      <c r="B38" s="24" t="s">
        <v>8</v>
      </c>
      <c r="C38" s="79" t="s">
        <v>33</v>
      </c>
      <c r="D38" s="79">
        <v>1</v>
      </c>
      <c r="E38" s="58">
        <f>E37*D38</f>
        <v>211.5</v>
      </c>
      <c r="F38" s="58"/>
      <c r="G38" s="56"/>
      <c r="H38" s="58">
        <f>30/0.8/0.98</f>
        <v>38.265306122448983</v>
      </c>
      <c r="I38" s="58">
        <f>H38*E38</f>
        <v>8093.1122448979595</v>
      </c>
      <c r="J38" s="58"/>
      <c r="K38" s="58"/>
      <c r="L38" s="57">
        <f t="shared" ref="L38:L44" si="1">K38+I38+G38</f>
        <v>8093.1122448979595</v>
      </c>
    </row>
    <row r="39" spans="1:12" s="69" customFormat="1" ht="13.95" customHeight="1" x14ac:dyDescent="0.3">
      <c r="A39" s="78"/>
      <c r="B39" s="24" t="s">
        <v>10</v>
      </c>
      <c r="C39" s="79" t="s">
        <v>15</v>
      </c>
      <c r="D39" s="79">
        <f>0.08</f>
        <v>0.08</v>
      </c>
      <c r="E39" s="58">
        <f>D39*E37</f>
        <v>16.920000000000002</v>
      </c>
      <c r="F39" s="58"/>
      <c r="G39" s="56"/>
      <c r="H39" s="58"/>
      <c r="I39" s="58"/>
      <c r="J39" s="58">
        <f>J33</f>
        <v>4</v>
      </c>
      <c r="K39" s="58">
        <f>J39*E39</f>
        <v>67.680000000000007</v>
      </c>
      <c r="L39" s="57">
        <f t="shared" si="1"/>
        <v>67.680000000000007</v>
      </c>
    </row>
    <row r="40" spans="1:12" s="69" customFormat="1" ht="13.95" customHeight="1" x14ac:dyDescent="0.3">
      <c r="A40" s="78"/>
      <c r="B40" s="24" t="s">
        <v>12</v>
      </c>
      <c r="C40" s="79"/>
      <c r="D40" s="79"/>
      <c r="E40" s="58"/>
      <c r="F40" s="58"/>
      <c r="G40" s="56"/>
      <c r="H40" s="58"/>
      <c r="I40" s="58"/>
      <c r="J40" s="58"/>
      <c r="K40" s="58"/>
      <c r="L40" s="57">
        <f t="shared" si="1"/>
        <v>0</v>
      </c>
    </row>
    <row r="41" spans="1:12" s="69" customFormat="1" ht="13.95" customHeight="1" x14ac:dyDescent="0.3">
      <c r="A41" s="78"/>
      <c r="B41" s="24" t="s">
        <v>37</v>
      </c>
      <c r="C41" s="79" t="s">
        <v>33</v>
      </c>
      <c r="D41" s="79">
        <f>1.05</f>
        <v>1.05</v>
      </c>
      <c r="E41" s="58">
        <f>D41*E37</f>
        <v>222.07500000000002</v>
      </c>
      <c r="F41" s="58">
        <f>30/1.18</f>
        <v>25.423728813559322</v>
      </c>
      <c r="G41" s="56">
        <f>F41*E41</f>
        <v>5645.9745762711864</v>
      </c>
      <c r="H41" s="58"/>
      <c r="I41" s="58"/>
      <c r="J41" s="58"/>
      <c r="K41" s="58"/>
      <c r="L41" s="57">
        <f t="shared" si="1"/>
        <v>5645.9745762711864</v>
      </c>
    </row>
    <row r="42" spans="1:12" s="69" customFormat="1" ht="13.95" customHeight="1" x14ac:dyDescent="0.3">
      <c r="A42" s="78"/>
      <c r="B42" s="24" t="s">
        <v>38</v>
      </c>
      <c r="C42" s="79" t="s">
        <v>13</v>
      </c>
      <c r="D42" s="79">
        <v>7</v>
      </c>
      <c r="E42" s="58">
        <f>D42*E37</f>
        <v>1480.5</v>
      </c>
      <c r="F42" s="58">
        <f>18/25/1.18</f>
        <v>0.61016949152542377</v>
      </c>
      <c r="G42" s="56">
        <f>F42*E42</f>
        <v>903.3559322033899</v>
      </c>
      <c r="H42" s="58"/>
      <c r="I42" s="58"/>
      <c r="J42" s="58"/>
      <c r="K42" s="58"/>
      <c r="L42" s="57">
        <f t="shared" si="1"/>
        <v>903.3559322033899</v>
      </c>
    </row>
    <row r="43" spans="1:12" s="69" customFormat="1" ht="13.95" customHeight="1" x14ac:dyDescent="0.3">
      <c r="A43" s="78"/>
      <c r="B43" s="24" t="s">
        <v>39</v>
      </c>
      <c r="C43" s="79" t="s">
        <v>13</v>
      </c>
      <c r="D43" s="79">
        <v>0.15</v>
      </c>
      <c r="E43" s="58">
        <f>D43*E37</f>
        <v>31.724999999999998</v>
      </c>
      <c r="F43" s="58">
        <f>4.5/1.18</f>
        <v>3.8135593220338984</v>
      </c>
      <c r="G43" s="56">
        <f>F43*E43</f>
        <v>120.98516949152541</v>
      </c>
      <c r="H43" s="58"/>
      <c r="I43" s="58"/>
      <c r="J43" s="58"/>
      <c r="K43" s="58"/>
      <c r="L43" s="57">
        <f t="shared" si="1"/>
        <v>120.98516949152541</v>
      </c>
    </row>
    <row r="44" spans="1:12" s="69" customFormat="1" ht="13.95" customHeight="1" x14ac:dyDescent="0.3">
      <c r="A44" s="78"/>
      <c r="B44" s="24" t="s">
        <v>14</v>
      </c>
      <c r="C44" s="79" t="s">
        <v>15</v>
      </c>
      <c r="D44" s="79">
        <f>0.19</f>
        <v>0.19</v>
      </c>
      <c r="E44" s="58">
        <f>D44*E37</f>
        <v>40.185000000000002</v>
      </c>
      <c r="F44" s="58">
        <v>4</v>
      </c>
      <c r="G44" s="56">
        <f>F44*E44</f>
        <v>160.74</v>
      </c>
      <c r="H44" s="58"/>
      <c r="I44" s="58"/>
      <c r="J44" s="58"/>
      <c r="K44" s="58"/>
      <c r="L44" s="57">
        <f t="shared" si="1"/>
        <v>160.74</v>
      </c>
    </row>
    <row r="45" spans="1:12" s="69" customFormat="1" ht="13.95" customHeight="1" x14ac:dyDescent="0.3">
      <c r="A45" s="68">
        <f>A37+1</f>
        <v>7</v>
      </c>
      <c r="B45" s="74" t="s">
        <v>40</v>
      </c>
      <c r="C45" s="75" t="s">
        <v>7</v>
      </c>
      <c r="D45" s="75"/>
      <c r="E45" s="76">
        <f>E37*1.07</f>
        <v>226.30500000000001</v>
      </c>
      <c r="F45" s="76"/>
      <c r="G45" s="76"/>
      <c r="H45" s="76"/>
      <c r="I45" s="76"/>
      <c r="J45" s="76"/>
      <c r="K45" s="76"/>
      <c r="L45" s="77"/>
    </row>
    <row r="46" spans="1:12" s="69" customFormat="1" ht="13.95" customHeight="1" x14ac:dyDescent="0.3">
      <c r="A46" s="78"/>
      <c r="B46" s="24" t="s">
        <v>8</v>
      </c>
      <c r="C46" s="79" t="s">
        <v>7</v>
      </c>
      <c r="D46" s="79">
        <v>1</v>
      </c>
      <c r="E46" s="58">
        <f>E45*D46</f>
        <v>226.30500000000001</v>
      </c>
      <c r="F46" s="58"/>
      <c r="G46" s="56"/>
      <c r="H46" s="58">
        <f>8/0.8/0.98</f>
        <v>10.204081632653061</v>
      </c>
      <c r="I46" s="58">
        <f>H46*E46</f>
        <v>2309.2346938775509</v>
      </c>
      <c r="J46" s="58"/>
      <c r="K46" s="58"/>
      <c r="L46" s="57">
        <f t="shared" ref="L46:L52" si="2">K46+I46+G46</f>
        <v>2309.2346938775509</v>
      </c>
    </row>
    <row r="47" spans="1:12" s="69" customFormat="1" ht="13.95" customHeight="1" x14ac:dyDescent="0.3">
      <c r="A47" s="78"/>
      <c r="B47" s="24" t="s">
        <v>10</v>
      </c>
      <c r="C47" s="79" t="s">
        <v>15</v>
      </c>
      <c r="D47" s="79">
        <f>0.08*0.1</f>
        <v>8.0000000000000002E-3</v>
      </c>
      <c r="E47" s="58">
        <f>D47*E45</f>
        <v>1.81044</v>
      </c>
      <c r="F47" s="58"/>
      <c r="G47" s="56"/>
      <c r="H47" s="58"/>
      <c r="I47" s="58"/>
      <c r="J47" s="58">
        <f>J39</f>
        <v>4</v>
      </c>
      <c r="K47" s="58">
        <f>J47*E47</f>
        <v>7.2417600000000002</v>
      </c>
      <c r="L47" s="57">
        <f t="shared" si="2"/>
        <v>7.2417600000000002</v>
      </c>
    </row>
    <row r="48" spans="1:12" s="69" customFormat="1" ht="13.95" customHeight="1" x14ac:dyDescent="0.3">
      <c r="A48" s="78"/>
      <c r="B48" s="24" t="s">
        <v>12</v>
      </c>
      <c r="C48" s="79"/>
      <c r="D48" s="79"/>
      <c r="E48" s="58"/>
      <c r="F48" s="58"/>
      <c r="G48" s="56"/>
      <c r="H48" s="58"/>
      <c r="I48" s="58"/>
      <c r="J48" s="58"/>
      <c r="K48" s="58"/>
      <c r="L48" s="57">
        <f t="shared" si="2"/>
        <v>0</v>
      </c>
    </row>
    <row r="49" spans="1:12" s="69" customFormat="1" ht="13.95" customHeight="1" x14ac:dyDescent="0.3">
      <c r="A49" s="78"/>
      <c r="B49" s="24" t="s">
        <v>37</v>
      </c>
      <c r="C49" s="79" t="s">
        <v>33</v>
      </c>
      <c r="D49" s="79">
        <f>1.05*0.1</f>
        <v>0.10500000000000001</v>
      </c>
      <c r="E49" s="58">
        <f>D49*E45</f>
        <v>23.762025000000001</v>
      </c>
      <c r="F49" s="58">
        <f>F41</f>
        <v>25.423728813559322</v>
      </c>
      <c r="G49" s="56">
        <f>F49*E49</f>
        <v>604.119279661017</v>
      </c>
      <c r="H49" s="58"/>
      <c r="I49" s="58"/>
      <c r="J49" s="58"/>
      <c r="K49" s="58"/>
      <c r="L49" s="57">
        <f t="shared" si="2"/>
        <v>604.119279661017</v>
      </c>
    </row>
    <row r="50" spans="1:12" s="69" customFormat="1" ht="13.95" customHeight="1" x14ac:dyDescent="0.3">
      <c r="A50" s="78"/>
      <c r="B50" s="24" t="s">
        <v>38</v>
      </c>
      <c r="C50" s="79" t="s">
        <v>13</v>
      </c>
      <c r="D50" s="79">
        <f>7*0.1</f>
        <v>0.70000000000000007</v>
      </c>
      <c r="E50" s="58">
        <f>D50*E45</f>
        <v>158.41350000000003</v>
      </c>
      <c r="F50" s="58">
        <f>18/25/1.18</f>
        <v>0.61016949152542377</v>
      </c>
      <c r="G50" s="56">
        <f>F50*E50</f>
        <v>96.65908474576274</v>
      </c>
      <c r="H50" s="58"/>
      <c r="I50" s="58"/>
      <c r="J50" s="58"/>
      <c r="K50" s="58"/>
      <c r="L50" s="57">
        <f t="shared" si="2"/>
        <v>96.65908474576274</v>
      </c>
    </row>
    <row r="51" spans="1:12" s="69" customFormat="1" ht="13.95" customHeight="1" x14ac:dyDescent="0.3">
      <c r="A51" s="78"/>
      <c r="B51" s="24" t="s">
        <v>39</v>
      </c>
      <c r="C51" s="79" t="s">
        <v>13</v>
      </c>
      <c r="D51" s="79">
        <f>0.15*0.1</f>
        <v>1.4999999999999999E-2</v>
      </c>
      <c r="E51" s="58">
        <f>D51*E45</f>
        <v>3.3945750000000001</v>
      </c>
      <c r="F51" s="58">
        <f>4.5/1.18</f>
        <v>3.8135593220338984</v>
      </c>
      <c r="G51" s="56">
        <f>F51*E51</f>
        <v>12.94541313559322</v>
      </c>
      <c r="H51" s="58"/>
      <c r="I51" s="58"/>
      <c r="J51" s="58"/>
      <c r="K51" s="58"/>
      <c r="L51" s="57">
        <f t="shared" si="2"/>
        <v>12.94541313559322</v>
      </c>
    </row>
    <row r="52" spans="1:12" s="69" customFormat="1" ht="13.95" customHeight="1" x14ac:dyDescent="0.3">
      <c r="A52" s="78"/>
      <c r="B52" s="24" t="s">
        <v>14</v>
      </c>
      <c r="C52" s="79" t="s">
        <v>15</v>
      </c>
      <c r="D52" s="79">
        <f>0.93*0.1</f>
        <v>9.3000000000000013E-2</v>
      </c>
      <c r="E52" s="58">
        <f>D52*E45</f>
        <v>21.046365000000005</v>
      </c>
      <c r="F52" s="58">
        <v>4</v>
      </c>
      <c r="G52" s="56">
        <f>F52*E52</f>
        <v>84.18546000000002</v>
      </c>
      <c r="H52" s="58"/>
      <c r="I52" s="58"/>
      <c r="J52" s="58"/>
      <c r="K52" s="58"/>
      <c r="L52" s="57">
        <f t="shared" si="2"/>
        <v>84.18546000000002</v>
      </c>
    </row>
    <row r="53" spans="1:12" s="69" customFormat="1" ht="27.6" customHeight="1" x14ac:dyDescent="0.3">
      <c r="A53" s="68">
        <v>8</v>
      </c>
      <c r="B53" s="74" t="s">
        <v>57</v>
      </c>
      <c r="C53" s="75" t="s">
        <v>33</v>
      </c>
      <c r="D53" s="75"/>
      <c r="E53" s="76">
        <f>264.9*6*1.1</f>
        <v>1748.34</v>
      </c>
      <c r="F53" s="56"/>
      <c r="G53" s="76"/>
      <c r="H53" s="76"/>
      <c r="I53" s="76"/>
      <c r="J53" s="76"/>
      <c r="K53" s="76"/>
      <c r="L53" s="77"/>
    </row>
    <row r="54" spans="1:12" s="69" customFormat="1" ht="15" customHeight="1" x14ac:dyDescent="0.3">
      <c r="A54" s="78"/>
      <c r="B54" s="24" t="s">
        <v>8</v>
      </c>
      <c r="C54" s="79" t="s">
        <v>51</v>
      </c>
      <c r="D54" s="58">
        <v>1</v>
      </c>
      <c r="E54" s="91">
        <f>E53*D54</f>
        <v>1748.34</v>
      </c>
      <c r="F54" s="56"/>
      <c r="G54" s="58"/>
      <c r="H54" s="58">
        <f>8/0.8/0.98</f>
        <v>10.204081632653061</v>
      </c>
      <c r="I54" s="58">
        <f>E54*H54</f>
        <v>17840.204081632652</v>
      </c>
      <c r="J54" s="58"/>
      <c r="K54" s="56"/>
      <c r="L54" s="57">
        <f t="shared" ref="L54:L61" si="3">G54+I54+K54</f>
        <v>17840.204081632652</v>
      </c>
    </row>
    <row r="55" spans="1:12" s="69" customFormat="1" ht="13.95" customHeight="1" x14ac:dyDescent="0.3">
      <c r="A55" s="78"/>
      <c r="B55" s="24" t="s">
        <v>52</v>
      </c>
      <c r="C55" s="79" t="s">
        <v>11</v>
      </c>
      <c r="D55" s="58">
        <f>3/100</f>
        <v>0.03</v>
      </c>
      <c r="E55" s="91">
        <f>D55*E53</f>
        <v>52.450199999999995</v>
      </c>
      <c r="F55" s="56"/>
      <c r="G55" s="58"/>
      <c r="H55" s="58"/>
      <c r="I55" s="58"/>
      <c r="J55" s="58">
        <f>9.2</f>
        <v>9.1999999999999993</v>
      </c>
      <c r="K55" s="56">
        <f>E55*J55</f>
        <v>482.54183999999992</v>
      </c>
      <c r="L55" s="57">
        <f t="shared" si="3"/>
        <v>482.54183999999992</v>
      </c>
    </row>
    <row r="56" spans="1:12" s="69" customFormat="1" ht="13.95" customHeight="1" x14ac:dyDescent="0.3">
      <c r="A56" s="78"/>
      <c r="B56" s="24" t="s">
        <v>12</v>
      </c>
      <c r="C56" s="79"/>
      <c r="D56" s="58"/>
      <c r="E56" s="91"/>
      <c r="F56" s="56"/>
      <c r="G56" s="58"/>
      <c r="H56" s="58"/>
      <c r="I56" s="58"/>
      <c r="J56" s="58"/>
      <c r="K56" s="56"/>
      <c r="L56" s="57">
        <f t="shared" si="3"/>
        <v>0</v>
      </c>
    </row>
    <row r="57" spans="1:12" s="69" customFormat="1" ht="13.95" customHeight="1" x14ac:dyDescent="0.3">
      <c r="A57" s="78"/>
      <c r="B57" s="24" t="s">
        <v>29</v>
      </c>
      <c r="C57" s="79" t="s">
        <v>27</v>
      </c>
      <c r="D57" s="58">
        <f>0.582/100</f>
        <v>5.8199999999999997E-3</v>
      </c>
      <c r="E57" s="91">
        <f>D57*E53</f>
        <v>10.175338799999999</v>
      </c>
      <c r="F57" s="56">
        <v>4</v>
      </c>
      <c r="G57" s="56">
        <f>F57*E57</f>
        <v>40.701355199999995</v>
      </c>
      <c r="H57" s="58"/>
      <c r="I57" s="58"/>
      <c r="J57" s="58"/>
      <c r="K57" s="56"/>
      <c r="L57" s="57">
        <f t="shared" si="3"/>
        <v>40.701355199999995</v>
      </c>
    </row>
    <row r="58" spans="1:12" s="69" customFormat="1" ht="13.95" customHeight="1" x14ac:dyDescent="0.3">
      <c r="A58" s="78"/>
      <c r="B58" s="24" t="s">
        <v>53</v>
      </c>
      <c r="C58" s="79" t="s">
        <v>33</v>
      </c>
      <c r="D58" s="58">
        <f>6/100</f>
        <v>0.06</v>
      </c>
      <c r="E58" s="91">
        <f>D58*E53</f>
        <v>104.90039999999999</v>
      </c>
      <c r="F58" s="56">
        <f>2.7/1.18</f>
        <v>2.2881355932203391</v>
      </c>
      <c r="G58" s="56">
        <f>F58*E58</f>
        <v>240.02633898305083</v>
      </c>
      <c r="H58" s="58"/>
      <c r="I58" s="58"/>
      <c r="J58" s="58"/>
      <c r="K58" s="56"/>
      <c r="L58" s="57">
        <f t="shared" si="3"/>
        <v>240.02633898305083</v>
      </c>
    </row>
    <row r="59" spans="1:12" s="69" customFormat="1" ht="13.95" customHeight="1" x14ac:dyDescent="0.3">
      <c r="A59" s="78"/>
      <c r="B59" s="24" t="s">
        <v>54</v>
      </c>
      <c r="C59" s="79" t="s">
        <v>7</v>
      </c>
      <c r="D59" s="58">
        <f>20/100</f>
        <v>0.2</v>
      </c>
      <c r="E59" s="91">
        <f>D59*E53</f>
        <v>349.66800000000001</v>
      </c>
      <c r="F59" s="56">
        <f>2.5/3/1.18</f>
        <v>0.70621468926553677</v>
      </c>
      <c r="G59" s="56">
        <f>F59*E59</f>
        <v>246.9406779661017</v>
      </c>
      <c r="H59" s="58"/>
      <c r="I59" s="58"/>
      <c r="J59" s="58"/>
      <c r="K59" s="56"/>
      <c r="L59" s="57">
        <f t="shared" si="3"/>
        <v>246.9406779661017</v>
      </c>
    </row>
    <row r="60" spans="1:12" s="69" customFormat="1" ht="27.6" customHeight="1" x14ac:dyDescent="0.3">
      <c r="A60" s="78"/>
      <c r="B60" s="24" t="s">
        <v>55</v>
      </c>
      <c r="C60" s="79" t="s">
        <v>13</v>
      </c>
      <c r="D60" s="58">
        <f>10/100</f>
        <v>0.1</v>
      </c>
      <c r="E60" s="91">
        <f>D60*E53</f>
        <v>174.834</v>
      </c>
      <c r="F60" s="56">
        <f>130/20/1.18</f>
        <v>5.5084745762711869</v>
      </c>
      <c r="G60" s="56">
        <f>E60*F60</f>
        <v>963.06864406779675</v>
      </c>
      <c r="H60" s="58"/>
      <c r="I60" s="58"/>
      <c r="J60" s="58"/>
      <c r="K60" s="56"/>
      <c r="L60" s="57">
        <f t="shared" si="3"/>
        <v>963.06864406779675</v>
      </c>
    </row>
    <row r="61" spans="1:12" s="69" customFormat="1" ht="27.6" customHeight="1" x14ac:dyDescent="0.3">
      <c r="A61" s="78"/>
      <c r="B61" s="55" t="s">
        <v>56</v>
      </c>
      <c r="C61" s="79" t="s">
        <v>13</v>
      </c>
      <c r="D61" s="58">
        <v>20</v>
      </c>
      <c r="E61" s="91">
        <f>D61*E53</f>
        <v>34966.799999999996</v>
      </c>
      <c r="F61" s="56">
        <f>12.56/25/1.18</f>
        <v>0.42576271186440684</v>
      </c>
      <c r="G61" s="56">
        <f>E61*F61</f>
        <v>14887.55959322034</v>
      </c>
      <c r="H61" s="58"/>
      <c r="I61" s="58"/>
      <c r="J61" s="58"/>
      <c r="K61" s="56"/>
      <c r="L61" s="57">
        <f t="shared" si="3"/>
        <v>14887.55959322034</v>
      </c>
    </row>
    <row r="62" spans="1:12" s="69" customFormat="1" ht="13.95" customHeight="1" x14ac:dyDescent="0.3">
      <c r="A62" s="80">
        <f>A53+1</f>
        <v>9</v>
      </c>
      <c r="B62" s="17" t="s">
        <v>105</v>
      </c>
      <c r="C62" s="75" t="s">
        <v>33</v>
      </c>
      <c r="D62" s="75"/>
      <c r="E62" s="81">
        <f>E53</f>
        <v>1748.34</v>
      </c>
      <c r="F62" s="81"/>
      <c r="G62" s="81"/>
      <c r="H62" s="81"/>
      <c r="I62" s="81"/>
      <c r="J62" s="81"/>
      <c r="K62" s="81"/>
      <c r="L62" s="82"/>
    </row>
    <row r="63" spans="1:12" s="83" customFormat="1" ht="13.95" customHeight="1" x14ac:dyDescent="0.3">
      <c r="A63" s="84"/>
      <c r="B63" s="24" t="s">
        <v>8</v>
      </c>
      <c r="C63" s="79" t="s">
        <v>33</v>
      </c>
      <c r="D63" s="79"/>
      <c r="E63" s="58">
        <f>E62</f>
        <v>1748.34</v>
      </c>
      <c r="F63" s="58"/>
      <c r="G63" s="58"/>
      <c r="H63" s="58">
        <f>25/0.8/0.98</f>
        <v>31.887755102040817</v>
      </c>
      <c r="I63" s="58">
        <f>H63*E63</f>
        <v>55750.637755102041</v>
      </c>
      <c r="J63" s="58"/>
      <c r="K63" s="58"/>
      <c r="L63" s="57">
        <f t="shared" ref="L63:L70" si="4">K63+I63+G63</f>
        <v>55750.637755102041</v>
      </c>
    </row>
    <row r="64" spans="1:12" s="83" customFormat="1" ht="13.95" customHeight="1" x14ac:dyDescent="0.3">
      <c r="A64" s="84"/>
      <c r="B64" s="24" t="s">
        <v>12</v>
      </c>
      <c r="C64" s="79"/>
      <c r="D64" s="79"/>
      <c r="E64" s="58"/>
      <c r="F64" s="58"/>
      <c r="G64" s="58"/>
      <c r="H64" s="58"/>
      <c r="I64" s="58"/>
      <c r="J64" s="58"/>
      <c r="K64" s="58"/>
      <c r="L64" s="57">
        <f t="shared" si="4"/>
        <v>0</v>
      </c>
    </row>
    <row r="65" spans="1:19" s="85" customFormat="1" ht="14.4" customHeight="1" x14ac:dyDescent="0.3">
      <c r="A65" s="84"/>
      <c r="B65" s="24" t="s">
        <v>42</v>
      </c>
      <c r="C65" s="79" t="s">
        <v>43</v>
      </c>
      <c r="D65" s="79">
        <v>0.15</v>
      </c>
      <c r="E65" s="58">
        <f>E62*0.15</f>
        <v>262.25099999999998</v>
      </c>
      <c r="F65" s="58">
        <v>4.3855932203389827</v>
      </c>
      <c r="G65" s="58">
        <f t="shared" ref="G65:G70" si="5">F65*E65</f>
        <v>1150.1262076271184</v>
      </c>
      <c r="H65" s="58"/>
      <c r="I65" s="58"/>
      <c r="J65" s="58"/>
      <c r="K65" s="58"/>
      <c r="L65" s="57">
        <f t="shared" si="4"/>
        <v>1150.1262076271184</v>
      </c>
    </row>
    <row r="66" spans="1:19" s="85" customFormat="1" ht="14.4" customHeight="1" x14ac:dyDescent="0.3">
      <c r="A66" s="84"/>
      <c r="B66" s="24" t="s">
        <v>44</v>
      </c>
      <c r="C66" s="79" t="s">
        <v>13</v>
      </c>
      <c r="D66" s="79">
        <v>7.5</v>
      </c>
      <c r="E66" s="58">
        <f>E62*7.5</f>
        <v>13112.55</v>
      </c>
      <c r="F66" s="58">
        <v>0.77966101694915257</v>
      </c>
      <c r="G66" s="58">
        <f t="shared" si="5"/>
        <v>10223.34406779661</v>
      </c>
      <c r="H66" s="58"/>
      <c r="I66" s="58"/>
      <c r="J66" s="58"/>
      <c r="K66" s="58"/>
      <c r="L66" s="57">
        <f t="shared" si="4"/>
        <v>10223.34406779661</v>
      </c>
    </row>
    <row r="67" spans="1:19" s="85" customFormat="1" ht="14.4" customHeight="1" x14ac:dyDescent="0.3">
      <c r="A67" s="84"/>
      <c r="B67" s="24" t="s">
        <v>45</v>
      </c>
      <c r="C67" s="79" t="s">
        <v>28</v>
      </c>
      <c r="D67" s="79">
        <v>0.3</v>
      </c>
      <c r="E67" s="58">
        <f>E62*0.3</f>
        <v>524.50199999999995</v>
      </c>
      <c r="F67" s="58">
        <v>5.8419999999999996</v>
      </c>
      <c r="G67" s="58">
        <f t="shared" si="5"/>
        <v>3064.1406839999995</v>
      </c>
      <c r="H67" s="58"/>
      <c r="I67" s="58"/>
      <c r="J67" s="58"/>
      <c r="K67" s="58"/>
      <c r="L67" s="57">
        <f t="shared" si="4"/>
        <v>3064.1406839999995</v>
      </c>
    </row>
    <row r="68" spans="1:19" s="85" customFormat="1" ht="14.4" customHeight="1" x14ac:dyDescent="0.3">
      <c r="A68" s="84"/>
      <c r="B68" s="24" t="s">
        <v>46</v>
      </c>
      <c r="C68" s="79" t="s">
        <v>30</v>
      </c>
      <c r="D68" s="79">
        <v>1.1000000000000001</v>
      </c>
      <c r="E68" s="58">
        <f>E62*1.1</f>
        <v>1923.174</v>
      </c>
      <c r="F68" s="58">
        <v>0.81355932203389836</v>
      </c>
      <c r="G68" s="56">
        <f t="shared" si="5"/>
        <v>1564.6161355932204</v>
      </c>
      <c r="H68" s="58"/>
      <c r="I68" s="58"/>
      <c r="J68" s="58"/>
      <c r="K68" s="58"/>
      <c r="L68" s="57">
        <f t="shared" si="4"/>
        <v>1564.6161355932204</v>
      </c>
    </row>
    <row r="69" spans="1:19" s="85" customFormat="1" ht="14.4" customHeight="1" x14ac:dyDescent="0.3">
      <c r="A69" s="84"/>
      <c r="B69" s="24" t="s">
        <v>47</v>
      </c>
      <c r="C69" s="79" t="s">
        <v>13</v>
      </c>
      <c r="D69" s="79">
        <v>0.25</v>
      </c>
      <c r="E69" s="58">
        <f>E62*0.25</f>
        <v>437.08499999999998</v>
      </c>
      <c r="F69" s="58">
        <v>5.360169491525423</v>
      </c>
      <c r="G69" s="58">
        <f t="shared" si="5"/>
        <v>2342.8496822033894</v>
      </c>
      <c r="H69" s="58"/>
      <c r="I69" s="58"/>
      <c r="J69" s="58"/>
      <c r="K69" s="58"/>
      <c r="L69" s="57">
        <f t="shared" si="4"/>
        <v>2342.8496822033894</v>
      </c>
    </row>
    <row r="70" spans="1:19" s="85" customFormat="1" ht="14.4" customHeight="1" x14ac:dyDescent="0.3">
      <c r="A70" s="84"/>
      <c r="B70" s="24" t="s">
        <v>48</v>
      </c>
      <c r="C70" s="79" t="s">
        <v>13</v>
      </c>
      <c r="D70" s="79">
        <v>4</v>
      </c>
      <c r="E70" s="58">
        <f>E62*4</f>
        <v>6993.36</v>
      </c>
      <c r="F70" s="58">
        <v>1.1694915254237286</v>
      </c>
      <c r="G70" s="58">
        <f t="shared" si="5"/>
        <v>8178.675254237286</v>
      </c>
      <c r="H70" s="58"/>
      <c r="I70" s="58"/>
      <c r="J70" s="58"/>
      <c r="K70" s="58"/>
      <c r="L70" s="57">
        <f t="shared" si="4"/>
        <v>8178.675254237286</v>
      </c>
    </row>
    <row r="71" spans="1:19" s="86" customFormat="1" ht="13.95" customHeight="1" x14ac:dyDescent="0.25">
      <c r="A71" s="84"/>
      <c r="B71" s="24" t="s">
        <v>49</v>
      </c>
      <c r="C71" s="79" t="s">
        <v>13</v>
      </c>
      <c r="D71" s="79">
        <v>0.45</v>
      </c>
      <c r="E71" s="58">
        <f>E62*D71</f>
        <v>786.75299999999993</v>
      </c>
      <c r="F71" s="58">
        <v>10.72</v>
      </c>
      <c r="G71" s="58">
        <f>E71*F71</f>
        <v>8433.9921599999998</v>
      </c>
      <c r="H71" s="58"/>
      <c r="I71" s="58"/>
      <c r="J71" s="58"/>
      <c r="K71" s="58"/>
      <c r="L71" s="57">
        <f>G71+I71+K71</f>
        <v>8433.9921599999998</v>
      </c>
      <c r="M71" s="87"/>
      <c r="N71" s="87"/>
      <c r="O71" s="87"/>
      <c r="P71" s="87"/>
      <c r="Q71" s="87"/>
      <c r="R71" s="87"/>
      <c r="S71" s="87"/>
    </row>
    <row r="72" spans="1:19" s="86" customFormat="1" ht="13.95" customHeight="1" x14ac:dyDescent="0.25">
      <c r="A72" s="84"/>
      <c r="B72" s="24" t="s">
        <v>14</v>
      </c>
      <c r="C72" s="79" t="s">
        <v>15</v>
      </c>
      <c r="D72" s="79">
        <v>1.2999999999999999E-3</v>
      </c>
      <c r="E72" s="58">
        <f>E70*D72</f>
        <v>9.0913679999999992</v>
      </c>
      <c r="F72" s="58">
        <v>3.2</v>
      </c>
      <c r="G72" s="56">
        <f>E72*F72</f>
        <v>29.092377599999999</v>
      </c>
      <c r="H72" s="58"/>
      <c r="I72" s="58"/>
      <c r="J72" s="58"/>
      <c r="K72" s="58"/>
      <c r="L72" s="57">
        <f>G72+I72+K72</f>
        <v>29.092377599999999</v>
      </c>
      <c r="M72" s="87"/>
      <c r="N72" s="87"/>
      <c r="O72" s="87"/>
      <c r="P72" s="87"/>
      <c r="Q72" s="87"/>
      <c r="R72" s="87"/>
      <c r="S72" s="87"/>
    </row>
    <row r="73" spans="1:19" s="88" customFormat="1" ht="14.4" customHeight="1" x14ac:dyDescent="0.3">
      <c r="A73" s="80">
        <f>A62+1</f>
        <v>10</v>
      </c>
      <c r="B73" s="17" t="s">
        <v>63</v>
      </c>
      <c r="C73" s="75" t="s">
        <v>59</v>
      </c>
      <c r="D73" s="75"/>
      <c r="E73" s="81">
        <f>E26</f>
        <v>6310</v>
      </c>
      <c r="F73" s="81"/>
      <c r="G73" s="81"/>
      <c r="H73" s="81"/>
      <c r="I73" s="81"/>
      <c r="J73" s="81"/>
      <c r="K73" s="81"/>
      <c r="L73" s="82"/>
    </row>
    <row r="74" spans="1:19" s="88" customFormat="1" ht="13.95" customHeight="1" x14ac:dyDescent="0.3">
      <c r="A74" s="11"/>
      <c r="B74" s="12" t="s">
        <v>8</v>
      </c>
      <c r="C74" s="13" t="s">
        <v>16</v>
      </c>
      <c r="D74" s="14">
        <v>1</v>
      </c>
      <c r="E74" s="14">
        <f>E73</f>
        <v>6310</v>
      </c>
      <c r="F74" s="105"/>
      <c r="G74" s="15"/>
      <c r="H74" s="15">
        <f>1/0.8/0.98</f>
        <v>1.2755102040816326</v>
      </c>
      <c r="I74" s="15">
        <f>H74*E74</f>
        <v>8048.4693877551017</v>
      </c>
      <c r="J74" s="15"/>
      <c r="K74" s="15"/>
      <c r="L74" s="117">
        <f t="shared" ref="L74:L79" si="6">K74+I74+G74</f>
        <v>8048.4693877551017</v>
      </c>
    </row>
    <row r="75" spans="1:19" s="88" customFormat="1" ht="13.95" customHeight="1" x14ac:dyDescent="0.3">
      <c r="A75" s="11"/>
      <c r="B75" s="12" t="s">
        <v>60</v>
      </c>
      <c r="C75" s="13" t="s">
        <v>15</v>
      </c>
      <c r="D75" s="14">
        <v>2.5999999999999999E-2</v>
      </c>
      <c r="E75" s="14">
        <f>D75*E73</f>
        <v>164.06</v>
      </c>
      <c r="F75" s="105"/>
      <c r="G75" s="15"/>
      <c r="H75" s="15"/>
      <c r="I75" s="15"/>
      <c r="J75" s="15">
        <v>4</v>
      </c>
      <c r="K75" s="15">
        <f>J75*E75</f>
        <v>656.24</v>
      </c>
      <c r="L75" s="117">
        <f t="shared" si="6"/>
        <v>656.24</v>
      </c>
    </row>
    <row r="76" spans="1:19" s="88" customFormat="1" ht="13.95" customHeight="1" x14ac:dyDescent="0.3">
      <c r="A76" s="11"/>
      <c r="B76" s="12" t="s">
        <v>12</v>
      </c>
      <c r="C76" s="13"/>
      <c r="D76" s="14"/>
      <c r="E76" s="14"/>
      <c r="F76" s="105"/>
      <c r="G76" s="15"/>
      <c r="H76" s="15"/>
      <c r="I76" s="15"/>
      <c r="J76" s="15"/>
      <c r="K76" s="15"/>
      <c r="L76" s="117">
        <f t="shared" si="6"/>
        <v>0</v>
      </c>
    </row>
    <row r="77" spans="1:19" s="88" customFormat="1" ht="13.95" customHeight="1" x14ac:dyDescent="0.3">
      <c r="A77" s="11"/>
      <c r="B77" s="12" t="s">
        <v>61</v>
      </c>
      <c r="C77" s="13" t="s">
        <v>13</v>
      </c>
      <c r="D77" s="14">
        <v>0.129</v>
      </c>
      <c r="E77" s="14">
        <f>D77*E73</f>
        <v>813.99</v>
      </c>
      <c r="F77" s="105">
        <f>55/1.18</f>
        <v>46.610169491525426</v>
      </c>
      <c r="G77" s="15">
        <f>F77*E77</f>
        <v>37940.211864406781</v>
      </c>
      <c r="H77" s="15"/>
      <c r="I77" s="15"/>
      <c r="J77" s="15"/>
      <c r="K77" s="15"/>
      <c r="L77" s="117">
        <f t="shared" si="6"/>
        <v>37940.211864406781</v>
      </c>
    </row>
    <row r="78" spans="1:19" s="88" customFormat="1" ht="13.95" customHeight="1" x14ac:dyDescent="0.3">
      <c r="A78" s="11"/>
      <c r="B78" s="12" t="s">
        <v>62</v>
      </c>
      <c r="C78" s="13" t="s">
        <v>13</v>
      </c>
      <c r="D78" s="14">
        <v>5.0000000000000001E-3</v>
      </c>
      <c r="E78" s="14">
        <f>D78*E73</f>
        <v>31.55</v>
      </c>
      <c r="F78" s="105">
        <f>100/1.18</f>
        <v>84.745762711864415</v>
      </c>
      <c r="G78" s="15">
        <f>F78*E78</f>
        <v>2673.7288135593226</v>
      </c>
      <c r="H78" s="15"/>
      <c r="I78" s="15"/>
      <c r="J78" s="15"/>
      <c r="K78" s="15"/>
      <c r="L78" s="117">
        <f t="shared" si="6"/>
        <v>2673.7288135593226</v>
      </c>
    </row>
    <row r="79" spans="1:19" s="88" customFormat="1" ht="13.95" customHeight="1" x14ac:dyDescent="0.3">
      <c r="A79" s="11"/>
      <c r="B79" s="12" t="s">
        <v>14</v>
      </c>
      <c r="C79" s="13" t="s">
        <v>15</v>
      </c>
      <c r="D79" s="14">
        <v>9.5999999999999992E-3</v>
      </c>
      <c r="E79" s="14">
        <f>D79*E73</f>
        <v>60.575999999999993</v>
      </c>
      <c r="F79" s="105">
        <v>4</v>
      </c>
      <c r="G79" s="15">
        <f>F79*E79</f>
        <v>242.30399999999997</v>
      </c>
      <c r="H79" s="15"/>
      <c r="I79" s="15"/>
      <c r="J79" s="15"/>
      <c r="K79" s="15"/>
      <c r="L79" s="117">
        <f t="shared" si="6"/>
        <v>242.30399999999997</v>
      </c>
    </row>
    <row r="80" spans="1:19" s="88" customFormat="1" ht="31.5" customHeight="1" x14ac:dyDescent="0.3">
      <c r="A80" s="80">
        <v>11</v>
      </c>
      <c r="B80" s="17" t="s">
        <v>141</v>
      </c>
      <c r="C80" s="75" t="s">
        <v>28</v>
      </c>
      <c r="D80" s="75"/>
      <c r="E80" s="81">
        <v>265</v>
      </c>
      <c r="F80" s="81"/>
      <c r="G80" s="81"/>
      <c r="H80" s="81"/>
      <c r="I80" s="81"/>
      <c r="J80" s="81"/>
      <c r="K80" s="81"/>
      <c r="L80" s="82"/>
    </row>
    <row r="81" spans="1:12" s="88" customFormat="1" ht="13.95" customHeight="1" x14ac:dyDescent="0.3">
      <c r="A81" s="11"/>
      <c r="B81" s="12" t="s">
        <v>8</v>
      </c>
      <c r="C81" s="13" t="s">
        <v>16</v>
      </c>
      <c r="D81" s="14">
        <v>1</v>
      </c>
      <c r="E81" s="14">
        <f>E80</f>
        <v>265</v>
      </c>
      <c r="F81" s="105"/>
      <c r="G81" s="15"/>
      <c r="H81" s="15">
        <f>205/0.8/0.98</f>
        <v>261.4795918367347</v>
      </c>
      <c r="I81" s="15">
        <f>H81*E81</f>
        <v>69292.091836734689</v>
      </c>
      <c r="J81" s="15"/>
      <c r="K81" s="15"/>
      <c r="L81" s="117">
        <f t="shared" ref="L81:L88" si="7">K81+I81+G81</f>
        <v>69292.091836734689</v>
      </c>
    </row>
    <row r="82" spans="1:12" s="88" customFormat="1" ht="13.95" customHeight="1" x14ac:dyDescent="0.3">
      <c r="A82" s="11"/>
      <c r="B82" s="12" t="s">
        <v>60</v>
      </c>
      <c r="C82" s="13" t="s">
        <v>15</v>
      </c>
      <c r="D82" s="14">
        <v>0.5</v>
      </c>
      <c r="E82" s="14">
        <f>D82*E80</f>
        <v>132.5</v>
      </c>
      <c r="F82" s="105"/>
      <c r="G82" s="15"/>
      <c r="H82" s="15"/>
      <c r="I82" s="15"/>
      <c r="J82" s="15">
        <v>4</v>
      </c>
      <c r="K82" s="15">
        <f>J82*E82</f>
        <v>530</v>
      </c>
      <c r="L82" s="117">
        <f t="shared" si="7"/>
        <v>530</v>
      </c>
    </row>
    <row r="83" spans="1:12" s="88" customFormat="1" ht="13.95" customHeight="1" x14ac:dyDescent="0.3">
      <c r="A83" s="11"/>
      <c r="B83" s="12" t="s">
        <v>12</v>
      </c>
      <c r="C83" s="13"/>
      <c r="D83" s="14"/>
      <c r="E83" s="14"/>
      <c r="F83" s="105"/>
      <c r="G83" s="15"/>
      <c r="H83" s="15"/>
      <c r="I83" s="15"/>
      <c r="J83" s="15"/>
      <c r="K83" s="15"/>
      <c r="L83" s="117">
        <f t="shared" si="7"/>
        <v>0</v>
      </c>
    </row>
    <row r="84" spans="1:12" s="88" customFormat="1" ht="13.95" customHeight="1" x14ac:dyDescent="0.3">
      <c r="A84" s="11"/>
      <c r="B84" s="12" t="s">
        <v>143</v>
      </c>
      <c r="C84" s="13" t="s">
        <v>28</v>
      </c>
      <c r="D84" s="14"/>
      <c r="E84" s="14">
        <f>95*5+95*5/2*3*0.55</f>
        <v>866.875</v>
      </c>
      <c r="F84" s="105">
        <v>98</v>
      </c>
      <c r="G84" s="15">
        <f>F84*E84</f>
        <v>84953.75</v>
      </c>
      <c r="H84" s="15"/>
      <c r="I84" s="15"/>
      <c r="J84" s="15"/>
      <c r="K84" s="15"/>
      <c r="L84" s="117">
        <f t="shared" si="7"/>
        <v>84953.75</v>
      </c>
    </row>
    <row r="85" spans="1:12" s="88" customFormat="1" ht="13.95" customHeight="1" x14ac:dyDescent="0.3">
      <c r="A85" s="11"/>
      <c r="B85" s="12" t="s">
        <v>145</v>
      </c>
      <c r="C85" s="13" t="s">
        <v>111</v>
      </c>
      <c r="D85" s="14"/>
      <c r="E85" s="14">
        <f>95*5/5*3</f>
        <v>285</v>
      </c>
      <c r="F85" s="105">
        <v>100</v>
      </c>
      <c r="G85" s="15">
        <f>F85*E85</f>
        <v>28500</v>
      </c>
      <c r="H85" s="15"/>
      <c r="I85" s="15"/>
      <c r="J85" s="15"/>
      <c r="K85" s="15"/>
      <c r="L85" s="117">
        <f t="shared" si="7"/>
        <v>28500</v>
      </c>
    </row>
    <row r="86" spans="1:12" s="88" customFormat="1" ht="13.95" customHeight="1" x14ac:dyDescent="0.3">
      <c r="A86" s="11"/>
      <c r="B86" s="12" t="s">
        <v>142</v>
      </c>
      <c r="C86" s="13" t="s">
        <v>13</v>
      </c>
      <c r="D86" s="14">
        <v>0.15</v>
      </c>
      <c r="E86" s="14">
        <f>D86*E80</f>
        <v>39.75</v>
      </c>
      <c r="F86" s="105">
        <v>38</v>
      </c>
      <c r="G86" s="15">
        <f>F86*E86</f>
        <v>1510.5</v>
      </c>
      <c r="H86" s="15"/>
      <c r="I86" s="15"/>
      <c r="J86" s="15"/>
      <c r="K86" s="15"/>
      <c r="L86" s="117">
        <f t="shared" si="7"/>
        <v>1510.5</v>
      </c>
    </row>
    <row r="87" spans="1:12" s="88" customFormat="1" ht="13.95" customHeight="1" x14ac:dyDescent="0.3">
      <c r="A87" s="11"/>
      <c r="B87" s="12" t="s">
        <v>144</v>
      </c>
      <c r="C87" s="13" t="s">
        <v>13</v>
      </c>
      <c r="D87" s="14">
        <v>0.15</v>
      </c>
      <c r="E87" s="14">
        <f>D87*E80</f>
        <v>39.75</v>
      </c>
      <c r="F87" s="105">
        <f>100/1.18</f>
        <v>84.745762711864415</v>
      </c>
      <c r="G87" s="15">
        <f>F87*E87</f>
        <v>3368.6440677966107</v>
      </c>
      <c r="H87" s="15"/>
      <c r="I87" s="15"/>
      <c r="J87" s="15"/>
      <c r="K87" s="15"/>
      <c r="L87" s="117">
        <f t="shared" si="7"/>
        <v>3368.6440677966107</v>
      </c>
    </row>
    <row r="88" spans="1:12" s="88" customFormat="1" ht="13.95" customHeight="1" x14ac:dyDescent="0.3">
      <c r="A88" s="11"/>
      <c r="B88" s="12" t="s">
        <v>14</v>
      </c>
      <c r="C88" s="13" t="s">
        <v>15</v>
      </c>
      <c r="D88" s="14">
        <v>9.5999999999999992E-3</v>
      </c>
      <c r="E88" s="14">
        <f>D88*E80</f>
        <v>2.5439999999999996</v>
      </c>
      <c r="F88" s="105">
        <v>4</v>
      </c>
      <c r="G88" s="15">
        <f>F88*E88</f>
        <v>10.175999999999998</v>
      </c>
      <c r="H88" s="15"/>
      <c r="I88" s="15"/>
      <c r="J88" s="15"/>
      <c r="K88" s="15"/>
      <c r="L88" s="117">
        <f t="shared" si="7"/>
        <v>10.175999999999998</v>
      </c>
    </row>
    <row r="89" spans="1:12" s="69" customFormat="1" ht="27.6" customHeight="1" x14ac:dyDescent="0.3">
      <c r="A89" s="68">
        <v>12</v>
      </c>
      <c r="B89" s="74" t="s">
        <v>147</v>
      </c>
      <c r="C89" s="75" t="s">
        <v>9</v>
      </c>
      <c r="D89" s="75"/>
      <c r="E89" s="76">
        <v>6</v>
      </c>
      <c r="F89" s="56"/>
      <c r="G89" s="76"/>
      <c r="H89" s="76"/>
      <c r="I89" s="76"/>
      <c r="J89" s="76"/>
      <c r="K89" s="76"/>
      <c r="L89" s="77"/>
    </row>
    <row r="90" spans="1:12" s="69" customFormat="1" x14ac:dyDescent="0.3">
      <c r="A90" s="78"/>
      <c r="B90" s="24" t="s">
        <v>8</v>
      </c>
      <c r="C90" s="79" t="s">
        <v>9</v>
      </c>
      <c r="D90" s="79">
        <v>1</v>
      </c>
      <c r="E90" s="58">
        <f>E89*D90</f>
        <v>6</v>
      </c>
      <c r="F90" s="56"/>
      <c r="G90" s="56"/>
      <c r="H90" s="58">
        <f>150/0.8/0.98</f>
        <v>191.32653061224491</v>
      </c>
      <c r="I90" s="58">
        <f>H90*E90</f>
        <v>1147.9591836734694</v>
      </c>
      <c r="J90" s="58"/>
      <c r="K90" s="58"/>
      <c r="L90" s="57">
        <f>K90+I90+G90</f>
        <v>1147.9591836734694</v>
      </c>
    </row>
    <row r="91" spans="1:12" s="69" customFormat="1" ht="13.95" customHeight="1" x14ac:dyDescent="0.3">
      <c r="A91" s="78"/>
      <c r="B91" s="24" t="s">
        <v>12</v>
      </c>
      <c r="C91" s="79"/>
      <c r="D91" s="79"/>
      <c r="E91" s="58"/>
      <c r="F91" s="56"/>
      <c r="G91" s="56"/>
      <c r="H91" s="58"/>
      <c r="I91" s="58"/>
      <c r="J91" s="58"/>
      <c r="K91" s="58"/>
      <c r="L91" s="57">
        <f>K91+I91+G91</f>
        <v>0</v>
      </c>
    </row>
    <row r="92" spans="1:12" s="69" customFormat="1" ht="13.95" customHeight="1" x14ac:dyDescent="0.3">
      <c r="A92" s="78"/>
      <c r="B92" s="24" t="s">
        <v>95</v>
      </c>
      <c r="C92" s="79" t="s">
        <v>9</v>
      </c>
      <c r="D92" s="79">
        <v>1</v>
      </c>
      <c r="E92" s="58">
        <f>D92*E89</f>
        <v>6</v>
      </c>
      <c r="F92" s="56">
        <f>900*2.51/1.18</f>
        <v>1914.406779661017</v>
      </c>
      <c r="G92" s="56">
        <f>F92*E92</f>
        <v>11486.440677966102</v>
      </c>
      <c r="H92" s="58"/>
      <c r="I92" s="58"/>
      <c r="J92" s="58"/>
      <c r="K92" s="58"/>
      <c r="L92" s="57">
        <f>K92+I92+G92</f>
        <v>11486.440677966102</v>
      </c>
    </row>
    <row r="93" spans="1:12" s="69" customFormat="1" ht="27.6" customHeight="1" x14ac:dyDescent="0.3">
      <c r="A93" s="68">
        <v>13</v>
      </c>
      <c r="B93" s="74" t="s">
        <v>94</v>
      </c>
      <c r="C93" s="75" t="s">
        <v>9</v>
      </c>
      <c r="D93" s="75"/>
      <c r="E93" s="76">
        <v>10</v>
      </c>
      <c r="F93" s="56"/>
      <c r="G93" s="76"/>
      <c r="H93" s="76"/>
      <c r="I93" s="76"/>
      <c r="J93" s="76"/>
      <c r="K93" s="76"/>
      <c r="L93" s="77"/>
    </row>
    <row r="94" spans="1:12" s="69" customFormat="1" x14ac:dyDescent="0.3">
      <c r="A94" s="78"/>
      <c r="B94" s="24" t="s">
        <v>8</v>
      </c>
      <c r="C94" s="79" t="s">
        <v>9</v>
      </c>
      <c r="D94" s="79">
        <v>1</v>
      </c>
      <c r="E94" s="58">
        <f>E93*D94</f>
        <v>10</v>
      </c>
      <c r="F94" s="56"/>
      <c r="G94" s="56"/>
      <c r="H94" s="58">
        <f>150/0.8/0.98</f>
        <v>191.32653061224491</v>
      </c>
      <c r="I94" s="58">
        <f>H94*E94</f>
        <v>1913.2653061224491</v>
      </c>
      <c r="J94" s="58"/>
      <c r="K94" s="58"/>
      <c r="L94" s="57">
        <f>K94+I94+G94</f>
        <v>1913.2653061224491</v>
      </c>
    </row>
    <row r="95" spans="1:12" s="69" customFormat="1" ht="13.95" customHeight="1" x14ac:dyDescent="0.3">
      <c r="A95" s="78"/>
      <c r="B95" s="24" t="s">
        <v>12</v>
      </c>
      <c r="C95" s="79"/>
      <c r="D95" s="79"/>
      <c r="E95" s="58"/>
      <c r="F95" s="56"/>
      <c r="G95" s="56"/>
      <c r="H95" s="58"/>
      <c r="I95" s="58"/>
      <c r="J95" s="58"/>
      <c r="K95" s="58"/>
      <c r="L95" s="57">
        <f>K95+I95+G95</f>
        <v>0</v>
      </c>
    </row>
    <row r="96" spans="1:12" s="69" customFormat="1" ht="13.95" customHeight="1" x14ac:dyDescent="0.3">
      <c r="A96" s="78"/>
      <c r="B96" s="24" t="s">
        <v>95</v>
      </c>
      <c r="C96" s="79" t="s">
        <v>9</v>
      </c>
      <c r="D96" s="79">
        <v>1</v>
      </c>
      <c r="E96" s="58">
        <f>D96*E93</f>
        <v>10</v>
      </c>
      <c r="F96" s="56">
        <f>900*2.51/1.18</f>
        <v>1914.406779661017</v>
      </c>
      <c r="G96" s="56">
        <f>F96*E96</f>
        <v>19144.067796610172</v>
      </c>
      <c r="H96" s="58"/>
      <c r="I96" s="58"/>
      <c r="J96" s="58"/>
      <c r="K96" s="58"/>
      <c r="L96" s="57">
        <f>K96+I96+G96</f>
        <v>19144.067796610172</v>
      </c>
    </row>
    <row r="97" spans="1:12" s="69" customFormat="1" ht="14.4" customHeight="1" x14ac:dyDescent="0.3">
      <c r="A97" s="70"/>
      <c r="B97" s="71" t="s">
        <v>64</v>
      </c>
      <c r="C97" s="71"/>
      <c r="D97" s="71"/>
      <c r="E97" s="72"/>
      <c r="F97" s="72"/>
      <c r="G97" s="72"/>
      <c r="H97" s="72"/>
      <c r="I97" s="72"/>
      <c r="J97" s="72"/>
      <c r="K97" s="72"/>
      <c r="L97" s="73"/>
    </row>
    <row r="98" spans="1:12" s="69" customFormat="1" ht="27.6" customHeight="1" x14ac:dyDescent="0.3">
      <c r="A98" s="68">
        <v>1</v>
      </c>
      <c r="B98" s="74" t="s">
        <v>103</v>
      </c>
      <c r="C98" s="75" t="s">
        <v>33</v>
      </c>
      <c r="D98" s="75"/>
      <c r="E98" s="76">
        <v>1189.58</v>
      </c>
      <c r="F98" s="76"/>
      <c r="G98" s="76"/>
      <c r="H98" s="76"/>
      <c r="I98" s="76"/>
      <c r="J98" s="76"/>
      <c r="K98" s="76"/>
      <c r="L98" s="77"/>
    </row>
    <row r="99" spans="1:12" s="69" customFormat="1" ht="13.95" customHeight="1" x14ac:dyDescent="0.3">
      <c r="A99" s="78"/>
      <c r="B99" s="24" t="s">
        <v>8</v>
      </c>
      <c r="C99" s="79" t="s">
        <v>33</v>
      </c>
      <c r="D99" s="79">
        <v>1</v>
      </c>
      <c r="E99" s="58">
        <f>E98</f>
        <v>1189.58</v>
      </c>
      <c r="F99" s="58"/>
      <c r="G99" s="58"/>
      <c r="H99" s="58">
        <f>18/1.18</f>
        <v>15.254237288135593</v>
      </c>
      <c r="I99" s="58">
        <f>H99*E99</f>
        <v>18146.135593220337</v>
      </c>
      <c r="J99" s="58"/>
      <c r="K99" s="58"/>
      <c r="L99" s="57">
        <f>K99+I99+G99</f>
        <v>18146.135593220337</v>
      </c>
    </row>
    <row r="100" spans="1:12" s="69" customFormat="1" ht="13.95" customHeight="1" x14ac:dyDescent="0.3">
      <c r="A100" s="78"/>
      <c r="B100" s="24" t="s">
        <v>12</v>
      </c>
      <c r="C100" s="79"/>
      <c r="D100" s="79"/>
      <c r="E100" s="58"/>
      <c r="F100" s="58"/>
      <c r="G100" s="58"/>
      <c r="H100" s="58"/>
      <c r="I100" s="58"/>
      <c r="J100" s="58"/>
      <c r="K100" s="58"/>
      <c r="L100" s="57">
        <f>K100+I100+G100</f>
        <v>0</v>
      </c>
    </row>
    <row r="101" spans="1:12" s="102" customFormat="1" ht="13.95" customHeight="1" x14ac:dyDescent="0.3">
      <c r="A101" s="78"/>
      <c r="B101" s="24" t="s">
        <v>102</v>
      </c>
      <c r="C101" s="79" t="s">
        <v>27</v>
      </c>
      <c r="D101" s="79">
        <f>0.1*1.02</f>
        <v>0.10200000000000001</v>
      </c>
      <c r="E101" s="58">
        <f>D101*E98</f>
        <v>121.33716</v>
      </c>
      <c r="F101" s="58">
        <v>200</v>
      </c>
      <c r="G101" s="58">
        <f>F101*E101</f>
        <v>24267.432000000001</v>
      </c>
      <c r="H101" s="58"/>
      <c r="I101" s="58"/>
      <c r="J101" s="58"/>
      <c r="K101" s="58"/>
      <c r="L101" s="57">
        <f>K101+I101+G101</f>
        <v>24267.432000000001</v>
      </c>
    </row>
    <row r="102" spans="1:12" s="69" customFormat="1" ht="13.95" customHeight="1" x14ac:dyDescent="0.3">
      <c r="A102" s="78"/>
      <c r="B102" s="24" t="s">
        <v>65</v>
      </c>
      <c r="C102" s="79" t="s">
        <v>13</v>
      </c>
      <c r="D102" s="79">
        <v>7</v>
      </c>
      <c r="E102" s="58">
        <f>D102*E98</f>
        <v>8327.06</v>
      </c>
      <c r="F102" s="58">
        <f>6/1.18</f>
        <v>5.0847457627118651</v>
      </c>
      <c r="G102" s="58">
        <f>F102*E102</f>
        <v>42340.983050847462</v>
      </c>
      <c r="H102" s="58"/>
      <c r="I102" s="58"/>
      <c r="J102" s="58"/>
      <c r="K102" s="58"/>
      <c r="L102" s="57">
        <f>K102+I102+G102</f>
        <v>42340.983050847462</v>
      </c>
    </row>
    <row r="103" spans="1:12" s="69" customFormat="1" ht="13.95" customHeight="1" x14ac:dyDescent="0.3">
      <c r="A103" s="78"/>
      <c r="B103" s="24" t="s">
        <v>29</v>
      </c>
      <c r="C103" s="79" t="s">
        <v>27</v>
      </c>
      <c r="D103" s="79">
        <v>0.2</v>
      </c>
      <c r="E103" s="58">
        <f>D103*E98</f>
        <v>237.916</v>
      </c>
      <c r="F103" s="56">
        <v>4</v>
      </c>
      <c r="G103" s="58">
        <f>F103*E103</f>
        <v>951.66399999999999</v>
      </c>
      <c r="H103" s="58"/>
      <c r="I103" s="58"/>
      <c r="J103" s="58"/>
      <c r="K103" s="58"/>
      <c r="L103" s="57">
        <f>K103+I103+G103</f>
        <v>951.66399999999999</v>
      </c>
    </row>
    <row r="104" spans="1:12" s="69" customFormat="1" ht="27.75" customHeight="1" x14ac:dyDescent="0.3">
      <c r="A104" s="68">
        <f>A98+1</f>
        <v>2</v>
      </c>
      <c r="B104" s="74" t="s">
        <v>106</v>
      </c>
      <c r="C104" s="75" t="s">
        <v>33</v>
      </c>
      <c r="D104" s="75"/>
      <c r="E104" s="76">
        <f>E98</f>
        <v>1189.58</v>
      </c>
      <c r="F104" s="76"/>
      <c r="G104" s="76"/>
      <c r="H104" s="76"/>
      <c r="I104" s="76"/>
      <c r="J104" s="76"/>
      <c r="K104" s="76"/>
      <c r="L104" s="77"/>
    </row>
    <row r="105" spans="1:12" s="69" customFormat="1" ht="13.95" customHeight="1" x14ac:dyDescent="0.3">
      <c r="A105" s="78"/>
      <c r="B105" s="24" t="s">
        <v>8</v>
      </c>
      <c r="C105" s="79" t="s">
        <v>33</v>
      </c>
      <c r="D105" s="79">
        <v>1</v>
      </c>
      <c r="E105" s="58">
        <f>E104*D105</f>
        <v>1189.58</v>
      </c>
      <c r="F105" s="58"/>
      <c r="G105" s="58"/>
      <c r="H105" s="58">
        <f>3/0.8/0.98</f>
        <v>3.8265306122448979</v>
      </c>
      <c r="I105" s="58">
        <f>H105*E105</f>
        <v>4551.9642857142853</v>
      </c>
      <c r="J105" s="58"/>
      <c r="K105" s="58"/>
      <c r="L105" s="57">
        <f>K105+I105+G105</f>
        <v>4551.9642857142853</v>
      </c>
    </row>
    <row r="106" spans="1:12" s="69" customFormat="1" ht="13.95" customHeight="1" x14ac:dyDescent="0.3">
      <c r="A106" s="78"/>
      <c r="B106" s="24" t="s">
        <v>12</v>
      </c>
      <c r="C106" s="79"/>
      <c r="D106" s="79"/>
      <c r="E106" s="58"/>
      <c r="F106" s="58"/>
      <c r="G106" s="58"/>
      <c r="H106" s="58"/>
      <c r="I106" s="58"/>
      <c r="J106" s="58"/>
      <c r="K106" s="58"/>
      <c r="L106" s="57">
        <f>K106+I106+G106</f>
        <v>0</v>
      </c>
    </row>
    <row r="107" spans="1:12" s="69" customFormat="1" ht="13.95" customHeight="1" x14ac:dyDescent="0.3">
      <c r="A107" s="78"/>
      <c r="B107" s="24" t="s">
        <v>70</v>
      </c>
      <c r="C107" s="79" t="s">
        <v>27</v>
      </c>
      <c r="D107" s="79">
        <f>0.055</f>
        <v>5.5E-2</v>
      </c>
      <c r="E107" s="58">
        <f>D107*E104</f>
        <v>65.426900000000003</v>
      </c>
      <c r="F107" s="56">
        <f>60/1.18</f>
        <v>50.847457627118644</v>
      </c>
      <c r="G107" s="56">
        <f>F107*E107</f>
        <v>3326.7915254237291</v>
      </c>
      <c r="H107" s="58"/>
      <c r="I107" s="58"/>
      <c r="J107" s="58"/>
      <c r="K107" s="58"/>
      <c r="L107" s="57">
        <f>K107+I107+G107</f>
        <v>3326.7915254237291</v>
      </c>
    </row>
    <row r="108" spans="1:12" s="69" customFormat="1" ht="13.95" customHeight="1" x14ac:dyDescent="0.3">
      <c r="A108" s="68">
        <f>A104+1</f>
        <v>3</v>
      </c>
      <c r="B108" s="74" t="s">
        <v>73</v>
      </c>
      <c r="C108" s="75" t="s">
        <v>33</v>
      </c>
      <c r="D108" s="75"/>
      <c r="E108" s="76">
        <f>E104</f>
        <v>1189.58</v>
      </c>
      <c r="F108" s="76"/>
      <c r="G108" s="76"/>
      <c r="H108" s="76"/>
      <c r="I108" s="76"/>
      <c r="J108" s="76"/>
      <c r="K108" s="76"/>
      <c r="L108" s="77"/>
    </row>
    <row r="109" spans="1:12" s="69" customFormat="1" ht="13.95" customHeight="1" x14ac:dyDescent="0.3">
      <c r="A109" s="78"/>
      <c r="B109" s="24" t="s">
        <v>8</v>
      </c>
      <c r="C109" s="79" t="s">
        <v>33</v>
      </c>
      <c r="D109" s="79">
        <v>1</v>
      </c>
      <c r="E109" s="58">
        <f>E108*D109</f>
        <v>1189.58</v>
      </c>
      <c r="F109" s="58"/>
      <c r="G109" s="58"/>
      <c r="H109" s="58">
        <f>5/1.18</f>
        <v>4.2372881355932206</v>
      </c>
      <c r="I109" s="58">
        <f>H109*E109</f>
        <v>5040.593220338983</v>
      </c>
      <c r="J109" s="58"/>
      <c r="K109" s="58"/>
      <c r="L109" s="57">
        <f>K109+I109+G109</f>
        <v>5040.593220338983</v>
      </c>
    </row>
    <row r="110" spans="1:12" s="69" customFormat="1" ht="13.95" customHeight="1" x14ac:dyDescent="0.3">
      <c r="A110" s="78"/>
      <c r="B110" s="24" t="s">
        <v>10</v>
      </c>
      <c r="C110" s="79" t="s">
        <v>15</v>
      </c>
      <c r="D110" s="79">
        <v>1.7000000000000001E-2</v>
      </c>
      <c r="E110" s="58">
        <f>D110*E108</f>
        <v>20.222860000000001</v>
      </c>
      <c r="F110" s="58"/>
      <c r="G110" s="58"/>
      <c r="H110" s="58"/>
      <c r="I110" s="58"/>
      <c r="J110" s="58">
        <v>4</v>
      </c>
      <c r="K110" s="58">
        <f>J110*E110</f>
        <v>80.891440000000003</v>
      </c>
      <c r="L110" s="57">
        <f>K110+I110+G110</f>
        <v>80.891440000000003</v>
      </c>
    </row>
    <row r="111" spans="1:12" s="69" customFormat="1" ht="13.95" customHeight="1" x14ac:dyDescent="0.3">
      <c r="A111" s="78"/>
      <c r="B111" s="24" t="s">
        <v>12</v>
      </c>
      <c r="C111" s="79"/>
      <c r="D111" s="79"/>
      <c r="E111" s="58"/>
      <c r="F111" s="58"/>
      <c r="G111" s="58"/>
      <c r="H111" s="58"/>
      <c r="I111" s="58"/>
      <c r="J111" s="58"/>
      <c r="K111" s="58"/>
      <c r="L111" s="57">
        <f>K111+I111+G111</f>
        <v>0</v>
      </c>
    </row>
    <row r="112" spans="1:12" s="69" customFormat="1" ht="13.95" customHeight="1" x14ac:dyDescent="0.3">
      <c r="A112" s="78"/>
      <c r="B112" s="24" t="s">
        <v>74</v>
      </c>
      <c r="C112" s="79" t="s">
        <v>33</v>
      </c>
      <c r="D112" s="79">
        <v>1.05</v>
      </c>
      <c r="E112" s="58">
        <f>D112*E108</f>
        <v>1249.059</v>
      </c>
      <c r="F112" s="56">
        <f>360/75/1.18</f>
        <v>4.0677966101694913</v>
      </c>
      <c r="G112" s="56">
        <f>F112*E112</f>
        <v>5080.9179661016942</v>
      </c>
      <c r="H112" s="58"/>
      <c r="I112" s="58"/>
      <c r="J112" s="58"/>
      <c r="K112" s="58"/>
      <c r="L112" s="57">
        <f>K112+I112+G112</f>
        <v>5080.9179661016942</v>
      </c>
    </row>
    <row r="113" spans="1:12" s="69" customFormat="1" ht="13.95" customHeight="1" x14ac:dyDescent="0.3">
      <c r="A113" s="78"/>
      <c r="B113" s="24" t="s">
        <v>14</v>
      </c>
      <c r="C113" s="79" t="s">
        <v>15</v>
      </c>
      <c r="D113" s="79">
        <v>0.22</v>
      </c>
      <c r="E113" s="58">
        <f>D113*E108</f>
        <v>261.70760000000001</v>
      </c>
      <c r="F113" s="58">
        <v>4</v>
      </c>
      <c r="G113" s="56">
        <f>F113*E113</f>
        <v>1046.8304000000001</v>
      </c>
      <c r="H113" s="58"/>
      <c r="I113" s="58"/>
      <c r="J113" s="58"/>
      <c r="K113" s="58"/>
      <c r="L113" s="57">
        <f>K113+I113+G113</f>
        <v>1046.8304000000001</v>
      </c>
    </row>
    <row r="114" spans="1:12" s="69" customFormat="1" ht="27.6" customHeight="1" x14ac:dyDescent="0.3">
      <c r="A114" s="68">
        <f>A108+1</f>
        <v>4</v>
      </c>
      <c r="B114" s="74" t="s">
        <v>104</v>
      </c>
      <c r="C114" s="75" t="s">
        <v>33</v>
      </c>
      <c r="D114" s="75"/>
      <c r="E114" s="76">
        <f>E108</f>
        <v>1189.58</v>
      </c>
      <c r="F114" s="76"/>
      <c r="G114" s="76"/>
      <c r="H114" s="76"/>
      <c r="I114" s="76"/>
      <c r="J114" s="76"/>
      <c r="K114" s="76"/>
      <c r="L114" s="77"/>
    </row>
    <row r="115" spans="1:12" s="69" customFormat="1" ht="13.95" customHeight="1" x14ac:dyDescent="0.3">
      <c r="A115" s="78"/>
      <c r="B115" s="24" t="s">
        <v>8</v>
      </c>
      <c r="C115" s="79" t="s">
        <v>33</v>
      </c>
      <c r="D115" s="79">
        <v>1</v>
      </c>
      <c r="E115" s="58">
        <f>E114*D115</f>
        <v>1189.58</v>
      </c>
      <c r="F115" s="58"/>
      <c r="G115" s="58"/>
      <c r="H115" s="58">
        <f>12/1.18</f>
        <v>10.16949152542373</v>
      </c>
      <c r="I115" s="58">
        <f>H115*E115</f>
        <v>12097.423728813561</v>
      </c>
      <c r="J115" s="58"/>
      <c r="K115" s="58"/>
      <c r="L115" s="57">
        <f>K115+I115+G115</f>
        <v>12097.423728813561</v>
      </c>
    </row>
    <row r="116" spans="1:12" s="69" customFormat="1" ht="13.95" customHeight="1" x14ac:dyDescent="0.3">
      <c r="A116" s="78"/>
      <c r="B116" s="24" t="s">
        <v>10</v>
      </c>
      <c r="C116" s="79" t="s">
        <v>15</v>
      </c>
      <c r="D116" s="79">
        <v>1.7000000000000001E-2</v>
      </c>
      <c r="E116" s="58">
        <f>D116*E114</f>
        <v>20.222860000000001</v>
      </c>
      <c r="F116" s="58"/>
      <c r="G116" s="58"/>
      <c r="H116" s="58"/>
      <c r="I116" s="58"/>
      <c r="J116" s="58">
        <v>4</v>
      </c>
      <c r="K116" s="58">
        <f>J116*E116</f>
        <v>80.891440000000003</v>
      </c>
      <c r="L116" s="57">
        <f>K116+I116+G116</f>
        <v>80.891440000000003</v>
      </c>
    </row>
    <row r="117" spans="1:12" s="69" customFormat="1" ht="13.95" customHeight="1" x14ac:dyDescent="0.3">
      <c r="A117" s="78"/>
      <c r="B117" s="24" t="s">
        <v>12</v>
      </c>
      <c r="C117" s="79"/>
      <c r="D117" s="79"/>
      <c r="E117" s="58"/>
      <c r="F117" s="58"/>
      <c r="G117" s="58"/>
      <c r="H117" s="58"/>
      <c r="I117" s="58"/>
      <c r="J117" s="58"/>
      <c r="K117" s="58"/>
      <c r="L117" s="57">
        <f>K117+I117+G117</f>
        <v>0</v>
      </c>
    </row>
    <row r="118" spans="1:12" s="69" customFormat="1" ht="13.95" customHeight="1" x14ac:dyDescent="0.3">
      <c r="A118" s="78"/>
      <c r="B118" s="24" t="s">
        <v>35</v>
      </c>
      <c r="C118" s="79" t="s">
        <v>27</v>
      </c>
      <c r="D118" s="79">
        <v>0.11</v>
      </c>
      <c r="E118" s="58">
        <f>D118*E114</f>
        <v>130.85380000000001</v>
      </c>
      <c r="F118" s="56">
        <f>150/1.18</f>
        <v>127.11864406779662</v>
      </c>
      <c r="G118" s="56">
        <f>F118*E118</f>
        <v>16633.957627118645</v>
      </c>
      <c r="H118" s="58"/>
      <c r="I118" s="58"/>
      <c r="J118" s="58"/>
      <c r="K118" s="58"/>
      <c r="L118" s="57">
        <f>K118+I118+G118</f>
        <v>16633.957627118645</v>
      </c>
    </row>
    <row r="119" spans="1:12" s="69" customFormat="1" ht="13.95" customHeight="1" x14ac:dyDescent="0.3">
      <c r="A119" s="78"/>
      <c r="B119" s="24" t="s">
        <v>14</v>
      </c>
      <c r="C119" s="79" t="s">
        <v>15</v>
      </c>
      <c r="D119" s="79">
        <v>0.11</v>
      </c>
      <c r="E119" s="58">
        <f>D119*E114</f>
        <v>130.85380000000001</v>
      </c>
      <c r="F119" s="58">
        <v>4</v>
      </c>
      <c r="G119" s="56">
        <f>F119*E119</f>
        <v>523.41520000000003</v>
      </c>
      <c r="H119" s="58"/>
      <c r="I119" s="58"/>
      <c r="J119" s="58"/>
      <c r="K119" s="58"/>
      <c r="L119" s="57">
        <f>K119+I119+G119</f>
        <v>523.41520000000003</v>
      </c>
    </row>
    <row r="120" spans="1:12" s="69" customFormat="1" ht="27.6" customHeight="1" x14ac:dyDescent="0.3">
      <c r="A120" s="68">
        <f>A114+1</f>
        <v>5</v>
      </c>
      <c r="B120" s="74" t="s">
        <v>159</v>
      </c>
      <c r="C120" s="75" t="s">
        <v>33</v>
      </c>
      <c r="D120" s="75"/>
      <c r="E120" s="76">
        <v>122</v>
      </c>
      <c r="F120" s="76"/>
      <c r="G120" s="76"/>
      <c r="H120" s="76"/>
      <c r="I120" s="76"/>
      <c r="J120" s="76"/>
      <c r="K120" s="76"/>
      <c r="L120" s="77"/>
    </row>
    <row r="121" spans="1:12" s="69" customFormat="1" ht="13.95" customHeight="1" x14ac:dyDescent="0.3">
      <c r="A121" s="78"/>
      <c r="B121" s="24" t="s">
        <v>8</v>
      </c>
      <c r="C121" s="79" t="s">
        <v>33</v>
      </c>
      <c r="D121" s="79">
        <v>1</v>
      </c>
      <c r="E121" s="58">
        <f>E120*D121</f>
        <v>122</v>
      </c>
      <c r="F121" s="58"/>
      <c r="G121" s="56"/>
      <c r="H121" s="58">
        <f>30/0.8/0.98</f>
        <v>38.265306122448983</v>
      </c>
      <c r="I121" s="58">
        <f>H121*E121</f>
        <v>4668.3673469387759</v>
      </c>
      <c r="J121" s="58"/>
      <c r="K121" s="58"/>
      <c r="L121" s="57">
        <f t="shared" ref="L121:L127" si="8">K121+I121+G121</f>
        <v>4668.3673469387759</v>
      </c>
    </row>
    <row r="122" spans="1:12" s="69" customFormat="1" ht="13.95" customHeight="1" x14ac:dyDescent="0.3">
      <c r="A122" s="78"/>
      <c r="B122" s="24" t="s">
        <v>10</v>
      </c>
      <c r="C122" s="79" t="s">
        <v>15</v>
      </c>
      <c r="D122" s="79">
        <f>0.08</f>
        <v>0.08</v>
      </c>
      <c r="E122" s="58">
        <f>D122*E120</f>
        <v>9.76</v>
      </c>
      <c r="F122" s="58"/>
      <c r="G122" s="56"/>
      <c r="H122" s="58"/>
      <c r="I122" s="58"/>
      <c r="J122" s="58">
        <f>J116</f>
        <v>4</v>
      </c>
      <c r="K122" s="58">
        <f>J122*E122</f>
        <v>39.04</v>
      </c>
      <c r="L122" s="57">
        <f t="shared" si="8"/>
        <v>39.04</v>
      </c>
    </row>
    <row r="123" spans="1:12" s="69" customFormat="1" ht="13.95" customHeight="1" x14ac:dyDescent="0.3">
      <c r="A123" s="78"/>
      <c r="B123" s="24" t="s">
        <v>12</v>
      </c>
      <c r="C123" s="79"/>
      <c r="D123" s="79"/>
      <c r="E123" s="58"/>
      <c r="F123" s="58"/>
      <c r="G123" s="56"/>
      <c r="H123" s="58"/>
      <c r="I123" s="58"/>
      <c r="J123" s="58"/>
      <c r="K123" s="58"/>
      <c r="L123" s="57">
        <f t="shared" si="8"/>
        <v>0</v>
      </c>
    </row>
    <row r="124" spans="1:12" s="69" customFormat="1" ht="13.95" customHeight="1" x14ac:dyDescent="0.3">
      <c r="A124" s="78"/>
      <c r="B124" s="24" t="s">
        <v>37</v>
      </c>
      <c r="C124" s="79" t="s">
        <v>33</v>
      </c>
      <c r="D124" s="79">
        <f>1.05</f>
        <v>1.05</v>
      </c>
      <c r="E124" s="58">
        <f>D124*E120</f>
        <v>128.1</v>
      </c>
      <c r="F124" s="58">
        <f>30/1.18</f>
        <v>25.423728813559322</v>
      </c>
      <c r="G124" s="56">
        <f>F124*E124</f>
        <v>3256.7796610169489</v>
      </c>
      <c r="H124" s="58"/>
      <c r="I124" s="58"/>
      <c r="J124" s="58"/>
      <c r="K124" s="58"/>
      <c r="L124" s="57">
        <f t="shared" si="8"/>
        <v>3256.7796610169489</v>
      </c>
    </row>
    <row r="125" spans="1:12" s="69" customFormat="1" ht="13.95" customHeight="1" x14ac:dyDescent="0.3">
      <c r="A125" s="78"/>
      <c r="B125" s="24" t="s">
        <v>38</v>
      </c>
      <c r="C125" s="79" t="s">
        <v>13</v>
      </c>
      <c r="D125" s="79">
        <v>7</v>
      </c>
      <c r="E125" s="58">
        <f>D125*E120</f>
        <v>854</v>
      </c>
      <c r="F125" s="58">
        <f>18/25/1.18</f>
        <v>0.61016949152542377</v>
      </c>
      <c r="G125" s="56">
        <f>F125*E125</f>
        <v>521.08474576271192</v>
      </c>
      <c r="H125" s="58"/>
      <c r="I125" s="58"/>
      <c r="J125" s="58"/>
      <c r="K125" s="58"/>
      <c r="L125" s="57">
        <f t="shared" si="8"/>
        <v>521.08474576271192</v>
      </c>
    </row>
    <row r="126" spans="1:12" s="69" customFormat="1" ht="13.95" customHeight="1" x14ac:dyDescent="0.3">
      <c r="A126" s="78"/>
      <c r="B126" s="24" t="s">
        <v>39</v>
      </c>
      <c r="C126" s="79" t="s">
        <v>13</v>
      </c>
      <c r="D126" s="79">
        <v>0.15</v>
      </c>
      <c r="E126" s="58">
        <f>D126*E120</f>
        <v>18.3</v>
      </c>
      <c r="F126" s="58">
        <f>4.5/1.18</f>
        <v>3.8135593220338984</v>
      </c>
      <c r="G126" s="56">
        <f>F126*E126</f>
        <v>69.788135593220346</v>
      </c>
      <c r="H126" s="58"/>
      <c r="I126" s="58"/>
      <c r="J126" s="58"/>
      <c r="K126" s="58"/>
      <c r="L126" s="57">
        <f t="shared" si="8"/>
        <v>69.788135593220346</v>
      </c>
    </row>
    <row r="127" spans="1:12" s="69" customFormat="1" ht="13.95" customHeight="1" x14ac:dyDescent="0.3">
      <c r="A127" s="78"/>
      <c r="B127" s="24" t="s">
        <v>14</v>
      </c>
      <c r="C127" s="79" t="s">
        <v>15</v>
      </c>
      <c r="D127" s="79">
        <f>0.19</f>
        <v>0.19</v>
      </c>
      <c r="E127" s="58">
        <f>D127*E120</f>
        <v>23.18</v>
      </c>
      <c r="F127" s="58">
        <v>4</v>
      </c>
      <c r="G127" s="56">
        <f>F127*E127</f>
        <v>92.72</v>
      </c>
      <c r="H127" s="58"/>
      <c r="I127" s="58"/>
      <c r="J127" s="58"/>
      <c r="K127" s="58"/>
      <c r="L127" s="57">
        <f t="shared" si="8"/>
        <v>92.72</v>
      </c>
    </row>
    <row r="128" spans="1:12" s="69" customFormat="1" ht="13.95" customHeight="1" x14ac:dyDescent="0.3">
      <c r="A128" s="68">
        <f>A120+1</f>
        <v>6</v>
      </c>
      <c r="B128" s="74" t="s">
        <v>40</v>
      </c>
      <c r="C128" s="75" t="s">
        <v>7</v>
      </c>
      <c r="D128" s="75"/>
      <c r="E128" s="76">
        <f>E120*0.7</f>
        <v>85.399999999999991</v>
      </c>
      <c r="F128" s="76"/>
      <c r="G128" s="76"/>
      <c r="H128" s="76"/>
      <c r="I128" s="76"/>
      <c r="J128" s="76"/>
      <c r="K128" s="76"/>
      <c r="L128" s="77"/>
    </row>
    <row r="129" spans="1:12" s="69" customFormat="1" ht="13.95" customHeight="1" x14ac:dyDescent="0.3">
      <c r="A129" s="78"/>
      <c r="B129" s="24" t="s">
        <v>8</v>
      </c>
      <c r="C129" s="79" t="s">
        <v>7</v>
      </c>
      <c r="D129" s="79">
        <v>1</v>
      </c>
      <c r="E129" s="58">
        <f>E128*D129</f>
        <v>85.399999999999991</v>
      </c>
      <c r="F129" s="58"/>
      <c r="G129" s="56"/>
      <c r="H129" s="58">
        <f>8/0.8/0.98</f>
        <v>10.204081632653061</v>
      </c>
      <c r="I129" s="58">
        <f>H129*E129</f>
        <v>871.42857142857133</v>
      </c>
      <c r="J129" s="58"/>
      <c r="K129" s="58"/>
      <c r="L129" s="57">
        <f t="shared" ref="L129:L135" si="9">K129+I129+G129</f>
        <v>871.42857142857133</v>
      </c>
    </row>
    <row r="130" spans="1:12" s="69" customFormat="1" ht="13.95" customHeight="1" x14ac:dyDescent="0.3">
      <c r="A130" s="78"/>
      <c r="B130" s="24" t="s">
        <v>10</v>
      </c>
      <c r="C130" s="79" t="s">
        <v>15</v>
      </c>
      <c r="D130" s="79">
        <f>0.08*0.1</f>
        <v>8.0000000000000002E-3</v>
      </c>
      <c r="E130" s="58">
        <f>D130*E128</f>
        <v>0.68319999999999992</v>
      </c>
      <c r="F130" s="58"/>
      <c r="G130" s="56"/>
      <c r="H130" s="58"/>
      <c r="I130" s="58"/>
      <c r="J130" s="58">
        <f>J122</f>
        <v>4</v>
      </c>
      <c r="K130" s="58">
        <f>J130*E130</f>
        <v>2.7327999999999997</v>
      </c>
      <c r="L130" s="57">
        <f t="shared" si="9"/>
        <v>2.7327999999999997</v>
      </c>
    </row>
    <row r="131" spans="1:12" s="69" customFormat="1" ht="13.95" customHeight="1" x14ac:dyDescent="0.3">
      <c r="A131" s="78"/>
      <c r="B131" s="24" t="s">
        <v>12</v>
      </c>
      <c r="C131" s="79"/>
      <c r="D131" s="79"/>
      <c r="E131" s="58"/>
      <c r="F131" s="58"/>
      <c r="G131" s="56"/>
      <c r="H131" s="58"/>
      <c r="I131" s="58"/>
      <c r="J131" s="58"/>
      <c r="K131" s="58"/>
      <c r="L131" s="57">
        <f t="shared" si="9"/>
        <v>0</v>
      </c>
    </row>
    <row r="132" spans="1:12" s="69" customFormat="1" ht="13.95" customHeight="1" x14ac:dyDescent="0.3">
      <c r="A132" s="78"/>
      <c r="B132" s="24" t="s">
        <v>37</v>
      </c>
      <c r="C132" s="79" t="s">
        <v>33</v>
      </c>
      <c r="D132" s="79">
        <f>1.05*0.1</f>
        <v>0.10500000000000001</v>
      </c>
      <c r="E132" s="58">
        <f>D132*E128</f>
        <v>8.9670000000000005</v>
      </c>
      <c r="F132" s="58">
        <f>F124</f>
        <v>25.423728813559322</v>
      </c>
      <c r="G132" s="56">
        <f>F132*E132</f>
        <v>227.97457627118646</v>
      </c>
      <c r="H132" s="58"/>
      <c r="I132" s="58"/>
      <c r="J132" s="58"/>
      <c r="K132" s="58"/>
      <c r="L132" s="57">
        <f t="shared" si="9"/>
        <v>227.97457627118646</v>
      </c>
    </row>
    <row r="133" spans="1:12" s="69" customFormat="1" ht="13.95" customHeight="1" x14ac:dyDescent="0.3">
      <c r="A133" s="78"/>
      <c r="B133" s="24" t="s">
        <v>38</v>
      </c>
      <c r="C133" s="79" t="s">
        <v>13</v>
      </c>
      <c r="D133" s="79">
        <f>7*0.1</f>
        <v>0.70000000000000007</v>
      </c>
      <c r="E133" s="58">
        <f>D133*E128</f>
        <v>59.78</v>
      </c>
      <c r="F133" s="58">
        <f>18/25/1.18</f>
        <v>0.61016949152542377</v>
      </c>
      <c r="G133" s="56">
        <f>F133*E133</f>
        <v>36.475932203389831</v>
      </c>
      <c r="H133" s="58"/>
      <c r="I133" s="58"/>
      <c r="J133" s="58"/>
      <c r="K133" s="58"/>
      <c r="L133" s="57">
        <f t="shared" si="9"/>
        <v>36.475932203389831</v>
      </c>
    </row>
    <row r="134" spans="1:12" s="69" customFormat="1" ht="13.95" customHeight="1" x14ac:dyDescent="0.3">
      <c r="A134" s="78"/>
      <c r="B134" s="24" t="s">
        <v>39</v>
      </c>
      <c r="C134" s="79" t="s">
        <v>13</v>
      </c>
      <c r="D134" s="79">
        <f>0.15*0.1</f>
        <v>1.4999999999999999E-2</v>
      </c>
      <c r="E134" s="58">
        <f>D134*E128</f>
        <v>1.2809999999999999</v>
      </c>
      <c r="F134" s="58">
        <f>4.5/1.18</f>
        <v>3.8135593220338984</v>
      </c>
      <c r="G134" s="56">
        <f>F134*E134</f>
        <v>4.8851694915254233</v>
      </c>
      <c r="H134" s="58"/>
      <c r="I134" s="58"/>
      <c r="J134" s="58"/>
      <c r="K134" s="58"/>
      <c r="L134" s="57">
        <f t="shared" si="9"/>
        <v>4.8851694915254233</v>
      </c>
    </row>
    <row r="135" spans="1:12" s="69" customFormat="1" ht="13.95" customHeight="1" x14ac:dyDescent="0.3">
      <c r="A135" s="78"/>
      <c r="B135" s="24" t="s">
        <v>14</v>
      </c>
      <c r="C135" s="79" t="s">
        <v>15</v>
      </c>
      <c r="D135" s="79">
        <f>0.93*0.1</f>
        <v>9.3000000000000013E-2</v>
      </c>
      <c r="E135" s="58">
        <f>D135*E128</f>
        <v>7.9422000000000006</v>
      </c>
      <c r="F135" s="58">
        <v>4</v>
      </c>
      <c r="G135" s="56">
        <f>F135*E135</f>
        <v>31.768800000000002</v>
      </c>
      <c r="H135" s="58"/>
      <c r="I135" s="58"/>
      <c r="J135" s="58"/>
      <c r="K135" s="58"/>
      <c r="L135" s="57">
        <f t="shared" si="9"/>
        <v>31.768800000000002</v>
      </c>
    </row>
    <row r="136" spans="1:12" s="69" customFormat="1" ht="27.6" customHeight="1" x14ac:dyDescent="0.3">
      <c r="A136" s="68">
        <v>7</v>
      </c>
      <c r="B136" s="74" t="s">
        <v>57</v>
      </c>
      <c r="C136" s="75" t="s">
        <v>33</v>
      </c>
      <c r="D136" s="75"/>
      <c r="E136" s="76">
        <f>326*5.2-3.8*2*29</f>
        <v>1474.8000000000002</v>
      </c>
      <c r="F136" s="56"/>
      <c r="G136" s="76"/>
      <c r="H136" s="76"/>
      <c r="I136" s="76"/>
      <c r="J136" s="76"/>
      <c r="K136" s="76"/>
      <c r="L136" s="77"/>
    </row>
    <row r="137" spans="1:12" s="69" customFormat="1" ht="15" customHeight="1" x14ac:dyDescent="0.3">
      <c r="A137" s="78"/>
      <c r="B137" s="24" t="s">
        <v>8</v>
      </c>
      <c r="C137" s="79" t="s">
        <v>51</v>
      </c>
      <c r="D137" s="58">
        <v>1</v>
      </c>
      <c r="E137" s="91">
        <f>E136*D137</f>
        <v>1474.8000000000002</v>
      </c>
      <c r="F137" s="56"/>
      <c r="G137" s="58"/>
      <c r="H137" s="58">
        <f>8/0.8/0.98</f>
        <v>10.204081632653061</v>
      </c>
      <c r="I137" s="58">
        <f>E137*H137</f>
        <v>15048.979591836736</v>
      </c>
      <c r="J137" s="58"/>
      <c r="K137" s="56"/>
      <c r="L137" s="57">
        <f t="shared" ref="L137:L144" si="10">G137+I137+K137</f>
        <v>15048.979591836736</v>
      </c>
    </row>
    <row r="138" spans="1:12" s="69" customFormat="1" ht="13.95" customHeight="1" x14ac:dyDescent="0.3">
      <c r="A138" s="78"/>
      <c r="B138" s="24" t="s">
        <v>52</v>
      </c>
      <c r="C138" s="79" t="s">
        <v>11</v>
      </c>
      <c r="D138" s="58">
        <f>3/100</f>
        <v>0.03</v>
      </c>
      <c r="E138" s="91">
        <f>D138*E136</f>
        <v>44.244000000000007</v>
      </c>
      <c r="F138" s="56"/>
      <c r="G138" s="58"/>
      <c r="H138" s="58"/>
      <c r="I138" s="58"/>
      <c r="J138" s="58">
        <f>9.2</f>
        <v>9.1999999999999993</v>
      </c>
      <c r="K138" s="56">
        <f>E138*J138</f>
        <v>407.04480000000001</v>
      </c>
      <c r="L138" s="57">
        <f t="shared" si="10"/>
        <v>407.04480000000001</v>
      </c>
    </row>
    <row r="139" spans="1:12" s="69" customFormat="1" ht="13.95" customHeight="1" x14ac:dyDescent="0.3">
      <c r="A139" s="78"/>
      <c r="B139" s="24" t="s">
        <v>12</v>
      </c>
      <c r="C139" s="79"/>
      <c r="D139" s="58"/>
      <c r="E139" s="91"/>
      <c r="F139" s="56"/>
      <c r="G139" s="58"/>
      <c r="H139" s="58"/>
      <c r="I139" s="58"/>
      <c r="J139" s="58"/>
      <c r="K139" s="56"/>
      <c r="L139" s="57">
        <f t="shared" si="10"/>
        <v>0</v>
      </c>
    </row>
    <row r="140" spans="1:12" s="69" customFormat="1" ht="13.95" customHeight="1" x14ac:dyDescent="0.3">
      <c r="A140" s="78"/>
      <c r="B140" s="24" t="s">
        <v>29</v>
      </c>
      <c r="C140" s="79" t="s">
        <v>27</v>
      </c>
      <c r="D140" s="58">
        <f>0.582/100</f>
        <v>5.8199999999999997E-3</v>
      </c>
      <c r="E140" s="91">
        <f>D140*E136</f>
        <v>8.583336000000001</v>
      </c>
      <c r="F140" s="56">
        <v>4</v>
      </c>
      <c r="G140" s="56">
        <f>F140*E140</f>
        <v>34.333344000000004</v>
      </c>
      <c r="H140" s="58"/>
      <c r="I140" s="58"/>
      <c r="J140" s="58"/>
      <c r="K140" s="56"/>
      <c r="L140" s="57">
        <f t="shared" si="10"/>
        <v>34.333344000000004</v>
      </c>
    </row>
    <row r="141" spans="1:12" s="69" customFormat="1" ht="13.95" customHeight="1" x14ac:dyDescent="0.3">
      <c r="A141" s="78"/>
      <c r="B141" s="24" t="s">
        <v>53</v>
      </c>
      <c r="C141" s="79" t="s">
        <v>33</v>
      </c>
      <c r="D141" s="58">
        <f>6/100</f>
        <v>0.06</v>
      </c>
      <c r="E141" s="91">
        <f>D141*E136</f>
        <v>88.488000000000014</v>
      </c>
      <c r="F141" s="56">
        <f>2.7/1.18</f>
        <v>2.2881355932203391</v>
      </c>
      <c r="G141" s="56">
        <f>F141*E141</f>
        <v>202.47254237288141</v>
      </c>
      <c r="H141" s="58"/>
      <c r="I141" s="58"/>
      <c r="J141" s="58"/>
      <c r="K141" s="56"/>
      <c r="L141" s="57">
        <f t="shared" si="10"/>
        <v>202.47254237288141</v>
      </c>
    </row>
    <row r="142" spans="1:12" s="69" customFormat="1" ht="13.95" customHeight="1" x14ac:dyDescent="0.3">
      <c r="A142" s="78"/>
      <c r="B142" s="24" t="s">
        <v>54</v>
      </c>
      <c r="C142" s="79" t="s">
        <v>7</v>
      </c>
      <c r="D142" s="58">
        <f>20/100</f>
        <v>0.2</v>
      </c>
      <c r="E142" s="91">
        <f>D142*E136</f>
        <v>294.96000000000004</v>
      </c>
      <c r="F142" s="56">
        <f>2.5/3/1.18</f>
        <v>0.70621468926553677</v>
      </c>
      <c r="G142" s="56">
        <f>F142*E142</f>
        <v>208.30508474576274</v>
      </c>
      <c r="H142" s="58"/>
      <c r="I142" s="58"/>
      <c r="J142" s="58"/>
      <c r="K142" s="56"/>
      <c r="L142" s="57">
        <f t="shared" si="10"/>
        <v>208.30508474576274</v>
      </c>
    </row>
    <row r="143" spans="1:12" s="69" customFormat="1" ht="27.6" customHeight="1" x14ac:dyDescent="0.3">
      <c r="A143" s="78"/>
      <c r="B143" s="24" t="s">
        <v>55</v>
      </c>
      <c r="C143" s="79" t="s">
        <v>13</v>
      </c>
      <c r="D143" s="58">
        <f>10/100</f>
        <v>0.1</v>
      </c>
      <c r="E143" s="91">
        <f>D143*E136</f>
        <v>147.48000000000002</v>
      </c>
      <c r="F143" s="56">
        <f>130/20/1.18</f>
        <v>5.5084745762711869</v>
      </c>
      <c r="G143" s="56">
        <f>E143*F143</f>
        <v>812.38983050847469</v>
      </c>
      <c r="H143" s="58"/>
      <c r="I143" s="58"/>
      <c r="J143" s="58"/>
      <c r="K143" s="56"/>
      <c r="L143" s="57">
        <f t="shared" si="10"/>
        <v>812.38983050847469</v>
      </c>
    </row>
    <row r="144" spans="1:12" s="69" customFormat="1" ht="27.6" customHeight="1" x14ac:dyDescent="0.3">
      <c r="A144" s="78"/>
      <c r="B144" s="55" t="s">
        <v>56</v>
      </c>
      <c r="C144" s="79" t="s">
        <v>13</v>
      </c>
      <c r="D144" s="58">
        <v>20</v>
      </c>
      <c r="E144" s="91">
        <f>D144*E136</f>
        <v>29496.000000000004</v>
      </c>
      <c r="F144" s="56">
        <f>12.56/25/1.18</f>
        <v>0.42576271186440684</v>
      </c>
      <c r="G144" s="56">
        <f>E144*F144</f>
        <v>12558.296949152545</v>
      </c>
      <c r="H144" s="58"/>
      <c r="I144" s="58"/>
      <c r="J144" s="58"/>
      <c r="K144" s="56"/>
      <c r="L144" s="57">
        <f t="shared" si="10"/>
        <v>12558.296949152545</v>
      </c>
    </row>
    <row r="145" spans="1:19" s="69" customFormat="1" ht="33.75" customHeight="1" x14ac:dyDescent="0.3">
      <c r="A145" s="80">
        <f>A136+1</f>
        <v>8</v>
      </c>
      <c r="B145" s="17" t="s">
        <v>105</v>
      </c>
      <c r="C145" s="75" t="s">
        <v>33</v>
      </c>
      <c r="D145" s="75"/>
      <c r="E145" s="81">
        <f>E136</f>
        <v>1474.8000000000002</v>
      </c>
      <c r="F145" s="81"/>
      <c r="G145" s="81"/>
      <c r="H145" s="81"/>
      <c r="I145" s="81"/>
      <c r="J145" s="81"/>
      <c r="K145" s="81"/>
      <c r="L145" s="82"/>
    </row>
    <row r="146" spans="1:19" s="83" customFormat="1" ht="13.95" customHeight="1" x14ac:dyDescent="0.3">
      <c r="A146" s="84"/>
      <c r="B146" s="24" t="s">
        <v>8</v>
      </c>
      <c r="C146" s="79" t="s">
        <v>33</v>
      </c>
      <c r="D146" s="79"/>
      <c r="E146" s="58">
        <f>E145</f>
        <v>1474.8000000000002</v>
      </c>
      <c r="F146" s="58"/>
      <c r="G146" s="58"/>
      <c r="H146" s="58">
        <f>25/0.8/0.98</f>
        <v>31.887755102040817</v>
      </c>
      <c r="I146" s="58">
        <f>H146*E146</f>
        <v>47028.0612244898</v>
      </c>
      <c r="J146" s="58"/>
      <c r="K146" s="58"/>
      <c r="L146" s="57">
        <f t="shared" ref="L146:L153" si="11">K146+I146+G146</f>
        <v>47028.0612244898</v>
      </c>
    </row>
    <row r="147" spans="1:19" s="83" customFormat="1" ht="13.95" customHeight="1" x14ac:dyDescent="0.3">
      <c r="A147" s="84"/>
      <c r="B147" s="24" t="s">
        <v>12</v>
      </c>
      <c r="C147" s="79"/>
      <c r="D147" s="79"/>
      <c r="E147" s="58"/>
      <c r="F147" s="58"/>
      <c r="G147" s="58"/>
      <c r="H147" s="58"/>
      <c r="I147" s="58"/>
      <c r="J147" s="58"/>
      <c r="K147" s="58"/>
      <c r="L147" s="57">
        <f t="shared" si="11"/>
        <v>0</v>
      </c>
    </row>
    <row r="148" spans="1:19" s="85" customFormat="1" ht="14.4" customHeight="1" x14ac:dyDescent="0.3">
      <c r="A148" s="84"/>
      <c r="B148" s="24" t="s">
        <v>42</v>
      </c>
      <c r="C148" s="79" t="s">
        <v>43</v>
      </c>
      <c r="D148" s="79">
        <v>0.15</v>
      </c>
      <c r="E148" s="58">
        <f>E145*0.15</f>
        <v>221.22000000000003</v>
      </c>
      <c r="F148" s="58">
        <v>4.3855932203389827</v>
      </c>
      <c r="G148" s="58">
        <f t="shared" ref="G148:G153" si="12">F148*E148</f>
        <v>970.18093220338983</v>
      </c>
      <c r="H148" s="58"/>
      <c r="I148" s="58"/>
      <c r="J148" s="58"/>
      <c r="K148" s="58"/>
      <c r="L148" s="57">
        <f t="shared" si="11"/>
        <v>970.18093220338983</v>
      </c>
    </row>
    <row r="149" spans="1:19" s="85" customFormat="1" ht="14.4" customHeight="1" x14ac:dyDescent="0.3">
      <c r="A149" s="84"/>
      <c r="B149" s="24" t="s">
        <v>44</v>
      </c>
      <c r="C149" s="79" t="s">
        <v>13</v>
      </c>
      <c r="D149" s="79">
        <v>7.5</v>
      </c>
      <c r="E149" s="58">
        <f>E145*7.5</f>
        <v>11061.000000000002</v>
      </c>
      <c r="F149" s="58">
        <v>0.77966101694915257</v>
      </c>
      <c r="G149" s="58">
        <f t="shared" si="12"/>
        <v>8623.8305084745789</v>
      </c>
      <c r="H149" s="58"/>
      <c r="I149" s="58"/>
      <c r="J149" s="58"/>
      <c r="K149" s="58"/>
      <c r="L149" s="57">
        <f t="shared" si="11"/>
        <v>8623.8305084745789</v>
      </c>
    </row>
    <row r="150" spans="1:19" s="85" customFormat="1" ht="14.4" customHeight="1" x14ac:dyDescent="0.3">
      <c r="A150" s="84"/>
      <c r="B150" s="24" t="s">
        <v>45</v>
      </c>
      <c r="C150" s="79" t="s">
        <v>28</v>
      </c>
      <c r="D150" s="79">
        <v>0.3</v>
      </c>
      <c r="E150" s="58">
        <f>E145*0.3</f>
        <v>442.44000000000005</v>
      </c>
      <c r="F150" s="58">
        <v>5.8419999999999996</v>
      </c>
      <c r="G150" s="58">
        <f t="shared" si="12"/>
        <v>2584.7344800000001</v>
      </c>
      <c r="H150" s="58"/>
      <c r="I150" s="58"/>
      <c r="J150" s="58"/>
      <c r="K150" s="58"/>
      <c r="L150" s="57">
        <f t="shared" si="11"/>
        <v>2584.7344800000001</v>
      </c>
    </row>
    <row r="151" spans="1:19" s="85" customFormat="1" ht="14.4" customHeight="1" x14ac:dyDescent="0.3">
      <c r="A151" s="84"/>
      <c r="B151" s="24" t="s">
        <v>46</v>
      </c>
      <c r="C151" s="79" t="s">
        <v>30</v>
      </c>
      <c r="D151" s="79">
        <v>1.1000000000000001</v>
      </c>
      <c r="E151" s="58">
        <f>E145*1.1</f>
        <v>1622.2800000000004</v>
      </c>
      <c r="F151" s="58">
        <v>0.81355932203389836</v>
      </c>
      <c r="G151" s="56">
        <f t="shared" si="12"/>
        <v>1319.8210169491529</v>
      </c>
      <c r="H151" s="58"/>
      <c r="I151" s="58"/>
      <c r="J151" s="58"/>
      <c r="K151" s="58"/>
      <c r="L151" s="57">
        <f t="shared" si="11"/>
        <v>1319.8210169491529</v>
      </c>
    </row>
    <row r="152" spans="1:19" s="85" customFormat="1" ht="14.4" customHeight="1" x14ac:dyDescent="0.3">
      <c r="A152" s="84"/>
      <c r="B152" s="24" t="s">
        <v>47</v>
      </c>
      <c r="C152" s="79" t="s">
        <v>13</v>
      </c>
      <c r="D152" s="79">
        <v>0.25</v>
      </c>
      <c r="E152" s="58">
        <f>E145*0.25</f>
        <v>368.70000000000005</v>
      </c>
      <c r="F152" s="58">
        <v>5.360169491525423</v>
      </c>
      <c r="G152" s="58">
        <f t="shared" si="12"/>
        <v>1976.2944915254236</v>
      </c>
      <c r="H152" s="58"/>
      <c r="I152" s="58"/>
      <c r="J152" s="58"/>
      <c r="K152" s="58"/>
      <c r="L152" s="57">
        <f t="shared" si="11"/>
        <v>1976.2944915254236</v>
      </c>
    </row>
    <row r="153" spans="1:19" s="85" customFormat="1" ht="14.4" customHeight="1" x14ac:dyDescent="0.3">
      <c r="A153" s="84"/>
      <c r="B153" s="24" t="s">
        <v>48</v>
      </c>
      <c r="C153" s="79" t="s">
        <v>13</v>
      </c>
      <c r="D153" s="79">
        <v>4</v>
      </c>
      <c r="E153" s="58">
        <f>E145*4</f>
        <v>5899.2000000000007</v>
      </c>
      <c r="F153" s="58">
        <v>1.1694915254237286</v>
      </c>
      <c r="G153" s="58">
        <f t="shared" si="12"/>
        <v>6899.0644067796602</v>
      </c>
      <c r="H153" s="58"/>
      <c r="I153" s="58"/>
      <c r="J153" s="58"/>
      <c r="K153" s="58"/>
      <c r="L153" s="57">
        <f t="shared" si="11"/>
        <v>6899.0644067796602</v>
      </c>
    </row>
    <row r="154" spans="1:19" s="86" customFormat="1" ht="13.95" customHeight="1" x14ac:dyDescent="0.25">
      <c r="A154" s="84"/>
      <c r="B154" s="24" t="s">
        <v>49</v>
      </c>
      <c r="C154" s="79" t="s">
        <v>13</v>
      </c>
      <c r="D154" s="79">
        <v>0.45</v>
      </c>
      <c r="E154" s="58">
        <f>E145*D154</f>
        <v>663.66000000000008</v>
      </c>
      <c r="F154" s="58">
        <v>10.72</v>
      </c>
      <c r="G154" s="58">
        <f>E154*F154</f>
        <v>7114.4352000000017</v>
      </c>
      <c r="H154" s="58"/>
      <c r="I154" s="58"/>
      <c r="J154" s="58"/>
      <c r="K154" s="58"/>
      <c r="L154" s="57">
        <f>G154+I154+K154</f>
        <v>7114.4352000000017</v>
      </c>
      <c r="M154" s="87"/>
      <c r="N154" s="87"/>
      <c r="O154" s="87"/>
      <c r="P154" s="87"/>
      <c r="Q154" s="87"/>
      <c r="R154" s="87"/>
      <c r="S154" s="87"/>
    </row>
    <row r="155" spans="1:19" s="86" customFormat="1" ht="13.95" customHeight="1" x14ac:dyDescent="0.25">
      <c r="A155" s="84"/>
      <c r="B155" s="24" t="s">
        <v>14</v>
      </c>
      <c r="C155" s="79" t="s">
        <v>15</v>
      </c>
      <c r="D155" s="79">
        <v>1.2999999999999999E-3</v>
      </c>
      <c r="E155" s="58">
        <f>E153*D155</f>
        <v>7.6689600000000002</v>
      </c>
      <c r="F155" s="58">
        <v>3.2</v>
      </c>
      <c r="G155" s="56">
        <f>E155*F155</f>
        <v>24.540672000000001</v>
      </c>
      <c r="H155" s="58"/>
      <c r="I155" s="58"/>
      <c r="J155" s="58"/>
      <c r="K155" s="58"/>
      <c r="L155" s="57">
        <f>G155+I155+K155</f>
        <v>24.540672000000001</v>
      </c>
      <c r="M155" s="87"/>
      <c r="N155" s="87"/>
      <c r="O155" s="87"/>
      <c r="P155" s="87"/>
      <c r="Q155" s="87"/>
      <c r="R155" s="87"/>
      <c r="S155" s="87"/>
    </row>
    <row r="156" spans="1:19" s="69" customFormat="1" ht="31.5" customHeight="1" x14ac:dyDescent="0.3">
      <c r="A156" s="68">
        <v>9</v>
      </c>
      <c r="B156" s="74" t="s">
        <v>148</v>
      </c>
      <c r="C156" s="75" t="s">
        <v>33</v>
      </c>
      <c r="D156" s="75"/>
      <c r="E156" s="76">
        <v>95</v>
      </c>
      <c r="F156" s="56"/>
      <c r="G156" s="76"/>
      <c r="H156" s="76"/>
      <c r="I156" s="76"/>
      <c r="J156" s="76"/>
      <c r="K156" s="76"/>
      <c r="L156" s="77"/>
    </row>
    <row r="157" spans="1:19" s="69" customFormat="1" ht="13.95" customHeight="1" x14ac:dyDescent="0.3">
      <c r="A157" s="78"/>
      <c r="B157" s="24" t="s">
        <v>8</v>
      </c>
      <c r="C157" s="79" t="s">
        <v>33</v>
      </c>
      <c r="D157" s="79">
        <v>1</v>
      </c>
      <c r="E157" s="58">
        <f>E156*D157</f>
        <v>95</v>
      </c>
      <c r="F157" s="56"/>
      <c r="G157" s="56"/>
      <c r="H157" s="58">
        <f>25/0.8/0.98</f>
        <v>31.887755102040817</v>
      </c>
      <c r="I157" s="58">
        <f>H157*E157</f>
        <v>3029.3367346938776</v>
      </c>
      <c r="J157" s="58"/>
      <c r="K157" s="58"/>
      <c r="L157" s="57">
        <f t="shared" ref="L157:L163" si="13">K157+I157+G157</f>
        <v>3029.3367346938776</v>
      </c>
    </row>
    <row r="158" spans="1:19" s="69" customFormat="1" ht="13.95" customHeight="1" x14ac:dyDescent="0.3">
      <c r="A158" s="78"/>
      <c r="B158" s="24" t="s">
        <v>10</v>
      </c>
      <c r="C158" s="79" t="s">
        <v>15</v>
      </c>
      <c r="D158" s="79">
        <f>0.08</f>
        <v>0.08</v>
      </c>
      <c r="E158" s="58">
        <f>D158*E156</f>
        <v>7.6000000000000005</v>
      </c>
      <c r="F158" s="56"/>
      <c r="G158" s="56"/>
      <c r="H158" s="58"/>
      <c r="I158" s="58"/>
      <c r="J158" s="58">
        <v>4</v>
      </c>
      <c r="K158" s="58">
        <f>J158*E158</f>
        <v>30.400000000000002</v>
      </c>
      <c r="L158" s="57">
        <f t="shared" si="13"/>
        <v>30.400000000000002</v>
      </c>
    </row>
    <row r="159" spans="1:19" s="69" customFormat="1" ht="13.95" customHeight="1" x14ac:dyDescent="0.3">
      <c r="A159" s="78"/>
      <c r="B159" s="24" t="s">
        <v>12</v>
      </c>
      <c r="C159" s="79"/>
      <c r="D159" s="79"/>
      <c r="E159" s="58"/>
      <c r="F159" s="56"/>
      <c r="G159" s="56"/>
      <c r="H159" s="58"/>
      <c r="I159" s="58"/>
      <c r="J159" s="58"/>
      <c r="K159" s="58"/>
      <c r="L159" s="57">
        <f t="shared" si="13"/>
        <v>0</v>
      </c>
    </row>
    <row r="160" spans="1:19" s="69" customFormat="1" ht="13.95" customHeight="1" x14ac:dyDescent="0.3">
      <c r="A160" s="78"/>
      <c r="B160" s="24" t="s">
        <v>37</v>
      </c>
      <c r="C160" s="79" t="s">
        <v>33</v>
      </c>
      <c r="D160" s="79">
        <f>1.05</f>
        <v>1.05</v>
      </c>
      <c r="E160" s="58">
        <f>D160*E156</f>
        <v>99.75</v>
      </c>
      <c r="F160" s="56">
        <f>F152</f>
        <v>5.360169491525423</v>
      </c>
      <c r="G160" s="56">
        <f>F160*E160</f>
        <v>534.67690677966095</v>
      </c>
      <c r="H160" s="58"/>
      <c r="I160" s="58"/>
      <c r="J160" s="58"/>
      <c r="K160" s="58"/>
      <c r="L160" s="57">
        <f t="shared" si="13"/>
        <v>534.67690677966095</v>
      </c>
    </row>
    <row r="161" spans="1:12" s="69" customFormat="1" ht="13.95" customHeight="1" x14ac:dyDescent="0.3">
      <c r="A161" s="78"/>
      <c r="B161" s="24" t="s">
        <v>38</v>
      </c>
      <c r="C161" s="79" t="s">
        <v>13</v>
      </c>
      <c r="D161" s="79">
        <v>7</v>
      </c>
      <c r="E161" s="58">
        <f>D161*E156</f>
        <v>665</v>
      </c>
      <c r="F161" s="56">
        <f>18/25/1.18</f>
        <v>0.61016949152542377</v>
      </c>
      <c r="G161" s="56">
        <f>F161*E161</f>
        <v>405.76271186440681</v>
      </c>
      <c r="H161" s="58"/>
      <c r="I161" s="58"/>
      <c r="J161" s="58"/>
      <c r="K161" s="58"/>
      <c r="L161" s="57">
        <f t="shared" si="13"/>
        <v>405.76271186440681</v>
      </c>
    </row>
    <row r="162" spans="1:12" s="69" customFormat="1" ht="13.95" customHeight="1" x14ac:dyDescent="0.3">
      <c r="A162" s="78"/>
      <c r="B162" s="24" t="s">
        <v>39</v>
      </c>
      <c r="C162" s="79" t="s">
        <v>13</v>
      </c>
      <c r="D162" s="79">
        <v>0.15</v>
      </c>
      <c r="E162" s="58">
        <f>D162*E156</f>
        <v>14.25</v>
      </c>
      <c r="F162" s="56">
        <f>4.5/1.18</f>
        <v>3.8135593220338984</v>
      </c>
      <c r="G162" s="56">
        <f>F162*E162</f>
        <v>54.343220338983052</v>
      </c>
      <c r="H162" s="58"/>
      <c r="I162" s="58"/>
      <c r="J162" s="58"/>
      <c r="K162" s="58"/>
      <c r="L162" s="57">
        <f t="shared" si="13"/>
        <v>54.343220338983052</v>
      </c>
    </row>
    <row r="163" spans="1:12" s="69" customFormat="1" ht="13.95" customHeight="1" x14ac:dyDescent="0.3">
      <c r="A163" s="78"/>
      <c r="B163" s="24" t="s">
        <v>14</v>
      </c>
      <c r="C163" s="79" t="s">
        <v>15</v>
      </c>
      <c r="D163" s="79">
        <f>0.19</f>
        <v>0.19</v>
      </c>
      <c r="E163" s="58">
        <f>D163*E156</f>
        <v>18.05</v>
      </c>
      <c r="F163" s="56">
        <v>4</v>
      </c>
      <c r="G163" s="56">
        <f>F163*E163</f>
        <v>72.2</v>
      </c>
      <c r="H163" s="58"/>
      <c r="I163" s="58"/>
      <c r="J163" s="58"/>
      <c r="K163" s="58"/>
      <c r="L163" s="57">
        <f t="shared" si="13"/>
        <v>72.2</v>
      </c>
    </row>
    <row r="164" spans="1:12" s="69" customFormat="1" ht="13.95" customHeight="1" x14ac:dyDescent="0.3">
      <c r="A164" s="68">
        <v>10</v>
      </c>
      <c r="B164" s="74" t="s">
        <v>40</v>
      </c>
      <c r="C164" s="75" t="s">
        <v>7</v>
      </c>
      <c r="D164" s="75"/>
      <c r="E164" s="76">
        <f>E156*0.7</f>
        <v>66.5</v>
      </c>
      <c r="F164" s="56"/>
      <c r="G164" s="76"/>
      <c r="H164" s="76"/>
      <c r="I164" s="76"/>
      <c r="J164" s="76"/>
      <c r="K164" s="76"/>
      <c r="L164" s="77"/>
    </row>
    <row r="165" spans="1:12" s="69" customFormat="1" ht="13.95" customHeight="1" x14ac:dyDescent="0.3">
      <c r="A165" s="78"/>
      <c r="B165" s="24" t="s">
        <v>8</v>
      </c>
      <c r="C165" s="79" t="s">
        <v>7</v>
      </c>
      <c r="D165" s="79">
        <v>1</v>
      </c>
      <c r="E165" s="58">
        <f>E164*D165</f>
        <v>66.5</v>
      </c>
      <c r="F165" s="56"/>
      <c r="G165" s="56"/>
      <c r="H165" s="58">
        <f>10/0.8/0.98</f>
        <v>12.755102040816327</v>
      </c>
      <c r="I165" s="58">
        <f>H165*E165</f>
        <v>848.21428571428578</v>
      </c>
      <c r="J165" s="58"/>
      <c r="K165" s="58"/>
      <c r="L165" s="57">
        <f t="shared" ref="L165:L171" si="14">K165+I165+G165</f>
        <v>848.21428571428578</v>
      </c>
    </row>
    <row r="166" spans="1:12" s="69" customFormat="1" ht="13.95" customHeight="1" x14ac:dyDescent="0.3">
      <c r="A166" s="78"/>
      <c r="B166" s="24" t="s">
        <v>10</v>
      </c>
      <c r="C166" s="79" t="s">
        <v>15</v>
      </c>
      <c r="D166" s="79">
        <f>0.08*0.1</f>
        <v>8.0000000000000002E-3</v>
      </c>
      <c r="E166" s="58">
        <f>D166*E164</f>
        <v>0.53200000000000003</v>
      </c>
      <c r="F166" s="56"/>
      <c r="G166" s="56"/>
      <c r="H166" s="58"/>
      <c r="I166" s="58"/>
      <c r="J166" s="58">
        <v>4</v>
      </c>
      <c r="K166" s="58">
        <f>J166*E166</f>
        <v>2.1280000000000001</v>
      </c>
      <c r="L166" s="57">
        <f t="shared" si="14"/>
        <v>2.1280000000000001</v>
      </c>
    </row>
    <row r="167" spans="1:12" s="69" customFormat="1" ht="13.95" customHeight="1" x14ac:dyDescent="0.3">
      <c r="A167" s="78"/>
      <c r="B167" s="24" t="s">
        <v>12</v>
      </c>
      <c r="C167" s="79"/>
      <c r="D167" s="79"/>
      <c r="E167" s="58"/>
      <c r="F167" s="56"/>
      <c r="G167" s="56"/>
      <c r="H167" s="58"/>
      <c r="I167" s="58"/>
      <c r="J167" s="58"/>
      <c r="K167" s="58"/>
      <c r="L167" s="57">
        <f t="shared" si="14"/>
        <v>0</v>
      </c>
    </row>
    <row r="168" spans="1:12" s="69" customFormat="1" ht="13.95" customHeight="1" x14ac:dyDescent="0.3">
      <c r="A168" s="78"/>
      <c r="B168" s="24" t="s">
        <v>37</v>
      </c>
      <c r="C168" s="79" t="s">
        <v>33</v>
      </c>
      <c r="D168" s="79">
        <f>1.05*0.1</f>
        <v>0.10500000000000001</v>
      </c>
      <c r="E168" s="58">
        <f>D168*E164</f>
        <v>6.9825000000000008</v>
      </c>
      <c r="F168" s="56">
        <f>F160</f>
        <v>5.360169491525423</v>
      </c>
      <c r="G168" s="56">
        <f>F168*E168</f>
        <v>37.427383474576267</v>
      </c>
      <c r="H168" s="58"/>
      <c r="I168" s="58"/>
      <c r="J168" s="58"/>
      <c r="K168" s="58"/>
      <c r="L168" s="57">
        <f t="shared" si="14"/>
        <v>37.427383474576267</v>
      </c>
    </row>
    <row r="169" spans="1:12" s="69" customFormat="1" ht="13.95" customHeight="1" x14ac:dyDescent="0.3">
      <c r="A169" s="78"/>
      <c r="B169" s="24" t="s">
        <v>38</v>
      </c>
      <c r="C169" s="79" t="s">
        <v>13</v>
      </c>
      <c r="D169" s="79">
        <f>7*0.1</f>
        <v>0.70000000000000007</v>
      </c>
      <c r="E169" s="58">
        <f>D169*E164</f>
        <v>46.550000000000004</v>
      </c>
      <c r="F169" s="56">
        <f>18/25/1.18</f>
        <v>0.61016949152542377</v>
      </c>
      <c r="G169" s="56">
        <f>F169*E169</f>
        <v>28.40338983050848</v>
      </c>
      <c r="H169" s="58"/>
      <c r="I169" s="58"/>
      <c r="J169" s="58"/>
      <c r="K169" s="58"/>
      <c r="L169" s="57">
        <f t="shared" si="14"/>
        <v>28.40338983050848</v>
      </c>
    </row>
    <row r="170" spans="1:12" s="69" customFormat="1" ht="13.95" customHeight="1" x14ac:dyDescent="0.3">
      <c r="A170" s="78"/>
      <c r="B170" s="24" t="s">
        <v>39</v>
      </c>
      <c r="C170" s="79" t="s">
        <v>13</v>
      </c>
      <c r="D170" s="79">
        <f>0.15*0.1</f>
        <v>1.4999999999999999E-2</v>
      </c>
      <c r="E170" s="58">
        <f>D170*E164</f>
        <v>0.99749999999999994</v>
      </c>
      <c r="F170" s="56">
        <f>4.5/1.18</f>
        <v>3.8135593220338984</v>
      </c>
      <c r="G170" s="56">
        <f>F170*E170</f>
        <v>3.8040254237288136</v>
      </c>
      <c r="H170" s="58"/>
      <c r="I170" s="58"/>
      <c r="J170" s="58"/>
      <c r="K170" s="58"/>
      <c r="L170" s="57">
        <f t="shared" si="14"/>
        <v>3.8040254237288136</v>
      </c>
    </row>
    <row r="171" spans="1:12" s="69" customFormat="1" ht="13.95" customHeight="1" x14ac:dyDescent="0.3">
      <c r="A171" s="78"/>
      <c r="B171" s="24" t="s">
        <v>14</v>
      </c>
      <c r="C171" s="79" t="s">
        <v>15</v>
      </c>
      <c r="D171" s="79">
        <f>0.93*0.1</f>
        <v>9.3000000000000013E-2</v>
      </c>
      <c r="E171" s="58">
        <f>D171*E164</f>
        <v>6.1845000000000008</v>
      </c>
      <c r="F171" s="56">
        <v>4</v>
      </c>
      <c r="G171" s="56">
        <f>F171*E171</f>
        <v>24.738000000000003</v>
      </c>
      <c r="H171" s="58"/>
      <c r="I171" s="58"/>
      <c r="J171" s="58"/>
      <c r="K171" s="58"/>
      <c r="L171" s="57">
        <f t="shared" si="14"/>
        <v>24.738000000000003</v>
      </c>
    </row>
    <row r="172" spans="1:12" s="54" customFormat="1" ht="21.75" customHeight="1" x14ac:dyDescent="0.3">
      <c r="A172" s="49"/>
      <c r="B172" s="71" t="s">
        <v>160</v>
      </c>
      <c r="C172" s="50"/>
      <c r="D172" s="51"/>
      <c r="E172" s="51"/>
      <c r="F172" s="52"/>
      <c r="G172" s="51"/>
      <c r="H172" s="51"/>
      <c r="I172" s="51"/>
      <c r="J172" s="51"/>
      <c r="K172" s="51"/>
      <c r="L172" s="53"/>
    </row>
    <row r="173" spans="1:12" s="69" customFormat="1" ht="27.6" customHeight="1" x14ac:dyDescent="0.3">
      <c r="A173" s="68">
        <v>1</v>
      </c>
      <c r="B173" s="74" t="s">
        <v>69</v>
      </c>
      <c r="C173" s="75" t="s">
        <v>33</v>
      </c>
      <c r="D173" s="75"/>
      <c r="E173" s="99">
        <v>6748</v>
      </c>
      <c r="F173" s="76"/>
      <c r="G173" s="76"/>
      <c r="H173" s="76"/>
      <c r="I173" s="76"/>
      <c r="J173" s="76"/>
      <c r="K173" s="76"/>
      <c r="L173" s="77"/>
    </row>
    <row r="174" spans="1:12" s="69" customFormat="1" ht="13.95" customHeight="1" x14ac:dyDescent="0.3">
      <c r="A174" s="78"/>
      <c r="B174" s="24" t="s">
        <v>8</v>
      </c>
      <c r="C174" s="79" t="s">
        <v>33</v>
      </c>
      <c r="D174" s="79">
        <v>1</v>
      </c>
      <c r="E174" s="58">
        <f>E173*D174</f>
        <v>6748</v>
      </c>
      <c r="F174" s="58"/>
      <c r="G174" s="58"/>
      <c r="H174" s="58">
        <f>3/0.8/0.98</f>
        <v>3.8265306122448979</v>
      </c>
      <c r="I174" s="58">
        <f>H174*E174</f>
        <v>25821.428571428572</v>
      </c>
      <c r="J174" s="58"/>
      <c r="K174" s="58"/>
      <c r="L174" s="57">
        <f>K174+I174+G174</f>
        <v>25821.428571428572</v>
      </c>
    </row>
    <row r="175" spans="1:12" s="69" customFormat="1" ht="13.95" customHeight="1" x14ac:dyDescent="0.3">
      <c r="A175" s="78"/>
      <c r="B175" s="24" t="s">
        <v>12</v>
      </c>
      <c r="C175" s="79"/>
      <c r="D175" s="79"/>
      <c r="E175" s="58"/>
      <c r="F175" s="58"/>
      <c r="G175" s="58"/>
      <c r="H175" s="58"/>
      <c r="I175" s="58"/>
      <c r="J175" s="58"/>
      <c r="K175" s="58"/>
      <c r="L175" s="57">
        <f>K175+I175+G175</f>
        <v>0</v>
      </c>
    </row>
    <row r="176" spans="1:12" s="69" customFormat="1" ht="13.95" customHeight="1" x14ac:dyDescent="0.3">
      <c r="A176" s="78"/>
      <c r="B176" s="24" t="s">
        <v>70</v>
      </c>
      <c r="C176" s="79" t="s">
        <v>27</v>
      </c>
      <c r="D176" s="79">
        <f>0.055</f>
        <v>5.5E-2</v>
      </c>
      <c r="E176" s="58">
        <f>D176*E173</f>
        <v>371.14</v>
      </c>
      <c r="F176" s="56">
        <f>60/1.18</f>
        <v>50.847457627118644</v>
      </c>
      <c r="G176" s="56">
        <f>F176*E176</f>
        <v>18871.525423728814</v>
      </c>
      <c r="H176" s="58"/>
      <c r="I176" s="58"/>
      <c r="J176" s="58"/>
      <c r="K176" s="58"/>
      <c r="L176" s="57">
        <f>K176+I176+G176</f>
        <v>18871.525423728814</v>
      </c>
    </row>
    <row r="177" spans="1:12" s="69" customFormat="1" ht="13.95" customHeight="1" x14ac:dyDescent="0.3">
      <c r="A177" s="68">
        <f>A173+1</f>
        <v>2</v>
      </c>
      <c r="B177" s="74" t="s">
        <v>73</v>
      </c>
      <c r="C177" s="75" t="s">
        <v>33</v>
      </c>
      <c r="D177" s="75"/>
      <c r="E177" s="76">
        <f>1541.19+10*20*7</f>
        <v>2941.19</v>
      </c>
      <c r="F177" s="76"/>
      <c r="G177" s="76"/>
      <c r="H177" s="76"/>
      <c r="I177" s="76"/>
      <c r="J177" s="76"/>
      <c r="K177" s="76"/>
      <c r="L177" s="77"/>
    </row>
    <row r="178" spans="1:12" s="69" customFormat="1" ht="13.95" customHeight="1" x14ac:dyDescent="0.3">
      <c r="A178" s="78"/>
      <c r="B178" s="24" t="s">
        <v>8</v>
      </c>
      <c r="C178" s="79" t="s">
        <v>33</v>
      </c>
      <c r="D178" s="79">
        <v>1</v>
      </c>
      <c r="E178" s="58">
        <f>E177*D178</f>
        <v>2941.19</v>
      </c>
      <c r="F178" s="58"/>
      <c r="G178" s="58"/>
      <c r="H178" s="58">
        <f>5/1.18</f>
        <v>4.2372881355932206</v>
      </c>
      <c r="I178" s="58">
        <f>H178*E178</f>
        <v>12462.669491525425</v>
      </c>
      <c r="J178" s="58"/>
      <c r="K178" s="58"/>
      <c r="L178" s="57">
        <f>K178+I178+G178</f>
        <v>12462.669491525425</v>
      </c>
    </row>
    <row r="179" spans="1:12" s="69" customFormat="1" ht="13.95" customHeight="1" x14ac:dyDescent="0.3">
      <c r="A179" s="78"/>
      <c r="B179" s="24" t="s">
        <v>10</v>
      </c>
      <c r="C179" s="79" t="s">
        <v>15</v>
      </c>
      <c r="D179" s="79">
        <v>1.7000000000000001E-2</v>
      </c>
      <c r="E179" s="58">
        <f>D179*E177</f>
        <v>50.000230000000002</v>
      </c>
      <c r="F179" s="58"/>
      <c r="G179" s="58"/>
      <c r="H179" s="58"/>
      <c r="I179" s="58"/>
      <c r="J179" s="58">
        <v>4</v>
      </c>
      <c r="K179" s="58">
        <f>J179*E179</f>
        <v>200.00092000000001</v>
      </c>
      <c r="L179" s="57">
        <f>K179+I179+G179</f>
        <v>200.00092000000001</v>
      </c>
    </row>
    <row r="180" spans="1:12" s="69" customFormat="1" ht="13.95" customHeight="1" x14ac:dyDescent="0.3">
      <c r="A180" s="78"/>
      <c r="B180" s="24" t="s">
        <v>12</v>
      </c>
      <c r="C180" s="79"/>
      <c r="D180" s="79"/>
      <c r="E180" s="58"/>
      <c r="F180" s="58"/>
      <c r="G180" s="58"/>
      <c r="H180" s="58"/>
      <c r="I180" s="58"/>
      <c r="J180" s="58"/>
      <c r="K180" s="58"/>
      <c r="L180" s="57">
        <f>K180+I180+G180</f>
        <v>0</v>
      </c>
    </row>
    <row r="181" spans="1:12" s="69" customFormat="1" ht="13.95" customHeight="1" x14ac:dyDescent="0.3">
      <c r="A181" s="78"/>
      <c r="B181" s="24" t="s">
        <v>74</v>
      </c>
      <c r="C181" s="79" t="s">
        <v>33</v>
      </c>
      <c r="D181" s="79">
        <v>1.05</v>
      </c>
      <c r="E181" s="58">
        <f>D181*E177</f>
        <v>3088.2495000000004</v>
      </c>
      <c r="F181" s="56">
        <f>360/75/1.18</f>
        <v>4.0677966101694913</v>
      </c>
      <c r="G181" s="56">
        <f>F181*E181</f>
        <v>12562.370847457629</v>
      </c>
      <c r="H181" s="58"/>
      <c r="I181" s="58"/>
      <c r="J181" s="58"/>
      <c r="K181" s="58"/>
      <c r="L181" s="57">
        <f>K181+I181+G181</f>
        <v>12562.370847457629</v>
      </c>
    </row>
    <row r="182" spans="1:12" s="69" customFormat="1" ht="13.95" customHeight="1" x14ac:dyDescent="0.3">
      <c r="A182" s="78"/>
      <c r="B182" s="24" t="s">
        <v>14</v>
      </c>
      <c r="C182" s="79" t="s">
        <v>15</v>
      </c>
      <c r="D182" s="79">
        <v>0.22</v>
      </c>
      <c r="E182" s="58">
        <f>D182*E177</f>
        <v>647.06180000000006</v>
      </c>
      <c r="F182" s="58">
        <v>4</v>
      </c>
      <c r="G182" s="56">
        <f>F182*E182</f>
        <v>2588.2472000000002</v>
      </c>
      <c r="H182" s="58"/>
      <c r="I182" s="58"/>
      <c r="J182" s="58"/>
      <c r="K182" s="58"/>
      <c r="L182" s="57">
        <f>K182+I182+G182</f>
        <v>2588.2472000000002</v>
      </c>
    </row>
    <row r="183" spans="1:12" s="69" customFormat="1" ht="27.6" customHeight="1" x14ac:dyDescent="0.3">
      <c r="A183" s="68">
        <f>A177+1</f>
        <v>3</v>
      </c>
      <c r="B183" s="74" t="s">
        <v>41</v>
      </c>
      <c r="C183" s="75" t="s">
        <v>33</v>
      </c>
      <c r="D183" s="75"/>
      <c r="E183" s="76">
        <f>59*7</f>
        <v>413</v>
      </c>
      <c r="F183" s="76"/>
      <c r="G183" s="76"/>
      <c r="H183" s="76"/>
      <c r="I183" s="76"/>
      <c r="J183" s="76"/>
      <c r="K183" s="76"/>
      <c r="L183" s="77"/>
    </row>
    <row r="184" spans="1:12" s="69" customFormat="1" ht="13.95" customHeight="1" x14ac:dyDescent="0.3">
      <c r="A184" s="78"/>
      <c r="B184" s="24" t="s">
        <v>8</v>
      </c>
      <c r="C184" s="79" t="s">
        <v>33</v>
      </c>
      <c r="D184" s="79">
        <v>1</v>
      </c>
      <c r="E184" s="58">
        <f>E183*D184</f>
        <v>413</v>
      </c>
      <c r="F184" s="58"/>
      <c r="G184" s="58"/>
      <c r="H184" s="58">
        <f>12/1.18</f>
        <v>10.16949152542373</v>
      </c>
      <c r="I184" s="58">
        <f>H184*E184</f>
        <v>4200.0000000000009</v>
      </c>
      <c r="J184" s="58"/>
      <c r="K184" s="58"/>
      <c r="L184" s="57">
        <f>K184+I184+G184</f>
        <v>4200.0000000000009</v>
      </c>
    </row>
    <row r="185" spans="1:12" s="69" customFormat="1" ht="13.95" customHeight="1" x14ac:dyDescent="0.3">
      <c r="A185" s="78"/>
      <c r="B185" s="24" t="s">
        <v>10</v>
      </c>
      <c r="C185" s="79" t="s">
        <v>15</v>
      </c>
      <c r="D185" s="79">
        <v>1.7000000000000001E-2</v>
      </c>
      <c r="E185" s="58">
        <f>D185*E183</f>
        <v>7.0210000000000008</v>
      </c>
      <c r="F185" s="58"/>
      <c r="G185" s="58"/>
      <c r="H185" s="58"/>
      <c r="I185" s="58"/>
      <c r="J185" s="58">
        <v>4</v>
      </c>
      <c r="K185" s="58">
        <f>J185*E185</f>
        <v>28.084000000000003</v>
      </c>
      <c r="L185" s="57">
        <f>K185+I185+G185</f>
        <v>28.084000000000003</v>
      </c>
    </row>
    <row r="186" spans="1:12" s="69" customFormat="1" ht="13.95" customHeight="1" x14ac:dyDescent="0.3">
      <c r="A186" s="78"/>
      <c r="B186" s="24" t="s">
        <v>12</v>
      </c>
      <c r="C186" s="79"/>
      <c r="D186" s="79"/>
      <c r="E186" s="58"/>
      <c r="F186" s="58"/>
      <c r="G186" s="58"/>
      <c r="H186" s="58"/>
      <c r="I186" s="58"/>
      <c r="J186" s="58"/>
      <c r="K186" s="58"/>
      <c r="L186" s="57">
        <f>K186+I186+G186</f>
        <v>0</v>
      </c>
    </row>
    <row r="187" spans="1:12" s="69" customFormat="1" ht="13.95" customHeight="1" x14ac:dyDescent="0.3">
      <c r="A187" s="78"/>
      <c r="B187" s="24" t="s">
        <v>35</v>
      </c>
      <c r="C187" s="79" t="s">
        <v>27</v>
      </c>
      <c r="D187" s="79">
        <f>0.055</f>
        <v>5.5E-2</v>
      </c>
      <c r="E187" s="58">
        <f>D187*E183</f>
        <v>22.715</v>
      </c>
      <c r="F187" s="56">
        <f>150/1.18</f>
        <v>127.11864406779662</v>
      </c>
      <c r="G187" s="56">
        <f>F187*E187</f>
        <v>2887.5000000000005</v>
      </c>
      <c r="H187" s="58"/>
      <c r="I187" s="58"/>
      <c r="J187" s="58"/>
      <c r="K187" s="58"/>
      <c r="L187" s="57">
        <f>K187+I187+G187</f>
        <v>2887.5000000000005</v>
      </c>
    </row>
    <row r="188" spans="1:12" s="69" customFormat="1" ht="13.95" customHeight="1" x14ac:dyDescent="0.3">
      <c r="A188" s="78"/>
      <c r="B188" s="24" t="s">
        <v>14</v>
      </c>
      <c r="C188" s="79" t="s">
        <v>15</v>
      </c>
      <c r="D188" s="79">
        <v>0.11</v>
      </c>
      <c r="E188" s="58">
        <f>D188*E183</f>
        <v>45.43</v>
      </c>
      <c r="F188" s="58">
        <v>4</v>
      </c>
      <c r="G188" s="56">
        <f>F188*E188</f>
        <v>181.72</v>
      </c>
      <c r="H188" s="58"/>
      <c r="I188" s="58"/>
      <c r="J188" s="58"/>
      <c r="K188" s="58"/>
      <c r="L188" s="57">
        <f>K188+I188+G188</f>
        <v>181.72</v>
      </c>
    </row>
    <row r="189" spans="1:12" s="69" customFormat="1" ht="27.6" customHeight="1" x14ac:dyDescent="0.3">
      <c r="A189" s="68">
        <f>A183+1</f>
        <v>4</v>
      </c>
      <c r="B189" s="74" t="s">
        <v>68</v>
      </c>
      <c r="C189" s="75" t="s">
        <v>33</v>
      </c>
      <c r="D189" s="75"/>
      <c r="E189" s="76">
        <f>113*7</f>
        <v>791</v>
      </c>
      <c r="F189" s="76"/>
      <c r="G189" s="76"/>
      <c r="H189" s="76"/>
      <c r="I189" s="76"/>
      <c r="J189" s="76"/>
      <c r="K189" s="76"/>
      <c r="L189" s="77"/>
    </row>
    <row r="190" spans="1:12" s="69" customFormat="1" ht="13.95" customHeight="1" x14ac:dyDescent="0.3">
      <c r="A190" s="78"/>
      <c r="B190" s="24" t="s">
        <v>8</v>
      </c>
      <c r="C190" s="79" t="s">
        <v>33</v>
      </c>
      <c r="D190" s="79">
        <v>1</v>
      </c>
      <c r="E190" s="58">
        <f>E189*D190</f>
        <v>791</v>
      </c>
      <c r="F190" s="58"/>
      <c r="G190" s="58"/>
      <c r="H190" s="58">
        <f>12/1.18</f>
        <v>10.16949152542373</v>
      </c>
      <c r="I190" s="58">
        <f>H190*E190</f>
        <v>8044.0677966101703</v>
      </c>
      <c r="J190" s="58"/>
      <c r="K190" s="58"/>
      <c r="L190" s="57">
        <f>K190+I190+G190</f>
        <v>8044.0677966101703</v>
      </c>
    </row>
    <row r="191" spans="1:12" s="69" customFormat="1" ht="13.95" customHeight="1" x14ac:dyDescent="0.3">
      <c r="A191" s="78"/>
      <c r="B191" s="24" t="s">
        <v>10</v>
      </c>
      <c r="C191" s="79" t="s">
        <v>15</v>
      </c>
      <c r="D191" s="79">
        <v>1.7000000000000001E-2</v>
      </c>
      <c r="E191" s="58">
        <f>D191*E189</f>
        <v>13.447000000000001</v>
      </c>
      <c r="F191" s="58"/>
      <c r="G191" s="58"/>
      <c r="H191" s="58"/>
      <c r="I191" s="58"/>
      <c r="J191" s="58">
        <v>4</v>
      </c>
      <c r="K191" s="58">
        <f>J191*E191</f>
        <v>53.788000000000004</v>
      </c>
      <c r="L191" s="57">
        <f>K191+I191+G191</f>
        <v>53.788000000000004</v>
      </c>
    </row>
    <row r="192" spans="1:12" s="69" customFormat="1" ht="13.95" customHeight="1" x14ac:dyDescent="0.3">
      <c r="A192" s="78"/>
      <c r="B192" s="24" t="s">
        <v>12</v>
      </c>
      <c r="C192" s="79"/>
      <c r="D192" s="79"/>
      <c r="E192" s="58"/>
      <c r="F192" s="58"/>
      <c r="G192" s="58"/>
      <c r="H192" s="58"/>
      <c r="I192" s="58"/>
      <c r="J192" s="58"/>
      <c r="K192" s="58"/>
      <c r="L192" s="57">
        <f>K192+I192+G192</f>
        <v>0</v>
      </c>
    </row>
    <row r="193" spans="1:12" s="69" customFormat="1" ht="13.95" customHeight="1" x14ac:dyDescent="0.3">
      <c r="A193" s="78"/>
      <c r="B193" s="24" t="s">
        <v>35</v>
      </c>
      <c r="C193" s="79" t="s">
        <v>27</v>
      </c>
      <c r="D193" s="79">
        <v>0.11</v>
      </c>
      <c r="E193" s="58">
        <f>D193*E189</f>
        <v>87.01</v>
      </c>
      <c r="F193" s="56">
        <f>150/1.18</f>
        <v>127.11864406779662</v>
      </c>
      <c r="G193" s="56">
        <f>F193*E193</f>
        <v>11060.593220338986</v>
      </c>
      <c r="H193" s="58"/>
      <c r="I193" s="58"/>
      <c r="J193" s="58"/>
      <c r="K193" s="58"/>
      <c r="L193" s="57">
        <f>K193+I193+G193</f>
        <v>11060.593220338986</v>
      </c>
    </row>
    <row r="194" spans="1:12" s="69" customFormat="1" ht="13.95" customHeight="1" x14ac:dyDescent="0.3">
      <c r="A194" s="78"/>
      <c r="B194" s="24" t="s">
        <v>14</v>
      </c>
      <c r="C194" s="79" t="s">
        <v>15</v>
      </c>
      <c r="D194" s="79">
        <v>0.11</v>
      </c>
      <c r="E194" s="58">
        <f>D194*E189</f>
        <v>87.01</v>
      </c>
      <c r="F194" s="58">
        <v>4</v>
      </c>
      <c r="G194" s="56">
        <f>F194*E194</f>
        <v>348.04</v>
      </c>
      <c r="H194" s="58"/>
      <c r="I194" s="58"/>
      <c r="J194" s="58"/>
      <c r="K194" s="58"/>
      <c r="L194" s="57">
        <f>K194+I194+G194</f>
        <v>348.04</v>
      </c>
    </row>
    <row r="195" spans="1:12" s="69" customFormat="1" ht="27.6" customHeight="1" x14ac:dyDescent="0.3">
      <c r="A195" s="68">
        <f>A189+1</f>
        <v>5</v>
      </c>
      <c r="B195" s="74" t="s">
        <v>66</v>
      </c>
      <c r="C195" s="75" t="s">
        <v>33</v>
      </c>
      <c r="D195" s="75"/>
      <c r="E195" s="76">
        <f>E173</f>
        <v>6748</v>
      </c>
      <c r="F195" s="76"/>
      <c r="G195" s="76"/>
      <c r="H195" s="76"/>
      <c r="I195" s="76"/>
      <c r="J195" s="76"/>
      <c r="K195" s="76"/>
      <c r="L195" s="77"/>
    </row>
    <row r="196" spans="1:12" s="69" customFormat="1" ht="13.95" customHeight="1" x14ac:dyDescent="0.3">
      <c r="A196" s="78"/>
      <c r="B196" s="24" t="s">
        <v>8</v>
      </c>
      <c r="C196" s="79" t="s">
        <v>33</v>
      </c>
      <c r="D196" s="79">
        <v>1</v>
      </c>
      <c r="E196" s="58">
        <f>E195*D196</f>
        <v>6748</v>
      </c>
      <c r="F196" s="58"/>
      <c r="G196" s="58"/>
      <c r="H196" s="58">
        <f>12/1.18</f>
        <v>10.16949152542373</v>
      </c>
      <c r="I196" s="58">
        <f>H196*E196</f>
        <v>68623.728813559326</v>
      </c>
      <c r="J196" s="58"/>
      <c r="K196" s="58"/>
      <c r="L196" s="57">
        <f>K196+I196+G196</f>
        <v>68623.728813559326</v>
      </c>
    </row>
    <row r="197" spans="1:12" s="69" customFormat="1" ht="13.95" customHeight="1" x14ac:dyDescent="0.3">
      <c r="A197" s="78"/>
      <c r="B197" s="24" t="s">
        <v>10</v>
      </c>
      <c r="C197" s="79" t="s">
        <v>15</v>
      </c>
      <c r="D197" s="79">
        <v>1.7000000000000001E-2</v>
      </c>
      <c r="E197" s="58">
        <f>D197*E195</f>
        <v>114.71600000000001</v>
      </c>
      <c r="F197" s="58"/>
      <c r="G197" s="58"/>
      <c r="H197" s="58"/>
      <c r="I197" s="58"/>
      <c r="J197" s="58">
        <v>4</v>
      </c>
      <c r="K197" s="58">
        <f>J197*E197</f>
        <v>458.86400000000003</v>
      </c>
      <c r="L197" s="57">
        <f>K197+I197+G197</f>
        <v>458.86400000000003</v>
      </c>
    </row>
    <row r="198" spans="1:12" s="69" customFormat="1" ht="13.95" customHeight="1" x14ac:dyDescent="0.3">
      <c r="A198" s="78"/>
      <c r="B198" s="24" t="s">
        <v>12</v>
      </c>
      <c r="C198" s="79"/>
      <c r="D198" s="79"/>
      <c r="E198" s="58"/>
      <c r="F198" s="58"/>
      <c r="G198" s="58"/>
      <c r="H198" s="58"/>
      <c r="I198" s="58"/>
      <c r="J198" s="58"/>
      <c r="K198" s="58"/>
      <c r="L198" s="57">
        <f>K198+I198+G198</f>
        <v>0</v>
      </c>
    </row>
    <row r="199" spans="1:12" s="69" customFormat="1" ht="13.95" customHeight="1" x14ac:dyDescent="0.3">
      <c r="A199" s="78"/>
      <c r="B199" s="24" t="s">
        <v>35</v>
      </c>
      <c r="C199" s="79" t="s">
        <v>27</v>
      </c>
      <c r="D199" s="79">
        <v>5.5E-2</v>
      </c>
      <c r="E199" s="58">
        <f>D199*E195</f>
        <v>371.14</v>
      </c>
      <c r="F199" s="56">
        <f>150/1.18</f>
        <v>127.11864406779662</v>
      </c>
      <c r="G199" s="56">
        <f>F199*E199</f>
        <v>47178.813559322036</v>
      </c>
      <c r="H199" s="58"/>
      <c r="I199" s="58"/>
      <c r="J199" s="58"/>
      <c r="K199" s="58"/>
      <c r="L199" s="57">
        <f>K199+I199+G199</f>
        <v>47178.813559322036</v>
      </c>
    </row>
    <row r="200" spans="1:12" s="69" customFormat="1" ht="13.95" customHeight="1" x14ac:dyDescent="0.3">
      <c r="A200" s="78"/>
      <c r="B200" s="24" t="s">
        <v>14</v>
      </c>
      <c r="C200" s="79" t="s">
        <v>15</v>
      </c>
      <c r="D200" s="79">
        <v>0.11</v>
      </c>
      <c r="E200" s="58">
        <f>D200*E195</f>
        <v>742.28</v>
      </c>
      <c r="F200" s="58">
        <v>4</v>
      </c>
      <c r="G200" s="56">
        <f>F200*E200</f>
        <v>2969.12</v>
      </c>
      <c r="H200" s="58"/>
      <c r="I200" s="58"/>
      <c r="J200" s="58"/>
      <c r="K200" s="58"/>
      <c r="L200" s="57">
        <f>K200+I200+G200</f>
        <v>2969.12</v>
      </c>
    </row>
    <row r="201" spans="1:12" s="69" customFormat="1" ht="27.6" customHeight="1" x14ac:dyDescent="0.3">
      <c r="A201" s="68">
        <f>A195+1</f>
        <v>6</v>
      </c>
      <c r="B201" s="74" t="s">
        <v>67</v>
      </c>
      <c r="C201" s="75" t="s">
        <v>33</v>
      </c>
      <c r="D201" s="75"/>
      <c r="E201" s="76">
        <v>1541.19</v>
      </c>
      <c r="F201" s="76"/>
      <c r="G201" s="76"/>
      <c r="H201" s="76"/>
      <c r="I201" s="76"/>
      <c r="J201" s="76"/>
      <c r="K201" s="76"/>
      <c r="L201" s="77"/>
    </row>
    <row r="202" spans="1:12" s="69" customFormat="1" ht="13.95" customHeight="1" x14ac:dyDescent="0.3">
      <c r="A202" s="78"/>
      <c r="B202" s="24" t="s">
        <v>8</v>
      </c>
      <c r="C202" s="79" t="s">
        <v>33</v>
      </c>
      <c r="D202" s="79">
        <v>1</v>
      </c>
      <c r="E202" s="58">
        <f>E201*D202</f>
        <v>1541.19</v>
      </c>
      <c r="F202" s="58"/>
      <c r="G202" s="58"/>
      <c r="H202" s="58">
        <f>12/1.18</f>
        <v>10.16949152542373</v>
      </c>
      <c r="I202" s="58">
        <f>H202*E202</f>
        <v>15673.118644067799</v>
      </c>
      <c r="J202" s="58"/>
      <c r="K202" s="58"/>
      <c r="L202" s="57">
        <f>K202+I202+G202</f>
        <v>15673.118644067799</v>
      </c>
    </row>
    <row r="203" spans="1:12" s="69" customFormat="1" ht="13.95" customHeight="1" x14ac:dyDescent="0.3">
      <c r="A203" s="78"/>
      <c r="B203" s="24" t="s">
        <v>10</v>
      </c>
      <c r="C203" s="79" t="s">
        <v>15</v>
      </c>
      <c r="D203" s="79">
        <v>1.7000000000000001E-2</v>
      </c>
      <c r="E203" s="58">
        <f>D203*E201</f>
        <v>26.200230000000001</v>
      </c>
      <c r="F203" s="58"/>
      <c r="G203" s="58"/>
      <c r="H203" s="58"/>
      <c r="I203" s="58"/>
      <c r="J203" s="58">
        <v>4</v>
      </c>
      <c r="K203" s="58">
        <f>J203*E203</f>
        <v>104.80092</v>
      </c>
      <c r="L203" s="57">
        <f>K203+I203+G203</f>
        <v>104.80092</v>
      </c>
    </row>
    <row r="204" spans="1:12" s="69" customFormat="1" ht="13.95" customHeight="1" x14ac:dyDescent="0.3">
      <c r="A204" s="78"/>
      <c r="B204" s="24" t="s">
        <v>12</v>
      </c>
      <c r="C204" s="79"/>
      <c r="D204" s="79"/>
      <c r="E204" s="58"/>
      <c r="F204" s="58"/>
      <c r="G204" s="58"/>
      <c r="H204" s="58"/>
      <c r="I204" s="58"/>
      <c r="J204" s="58"/>
      <c r="K204" s="58"/>
      <c r="L204" s="57">
        <f>K204+I204+G204</f>
        <v>0</v>
      </c>
    </row>
    <row r="205" spans="1:12" s="69" customFormat="1" ht="13.95" customHeight="1" x14ac:dyDescent="0.3">
      <c r="A205" s="78"/>
      <c r="B205" s="24" t="s">
        <v>35</v>
      </c>
      <c r="C205" s="79" t="s">
        <v>27</v>
      </c>
      <c r="D205" s="79">
        <v>5.5E-2</v>
      </c>
      <c r="E205" s="58">
        <f>D205*E201</f>
        <v>84.765450000000001</v>
      </c>
      <c r="F205" s="56">
        <f>150/1.18</f>
        <v>127.11864406779662</v>
      </c>
      <c r="G205" s="56">
        <f>F205*E205</f>
        <v>10775.269067796611</v>
      </c>
      <c r="H205" s="58"/>
      <c r="I205" s="58"/>
      <c r="J205" s="58"/>
      <c r="K205" s="58"/>
      <c r="L205" s="57">
        <f>K205+I205+G205</f>
        <v>10775.269067796611</v>
      </c>
    </row>
    <row r="206" spans="1:12" s="69" customFormat="1" ht="13.95" customHeight="1" x14ac:dyDescent="0.3">
      <c r="A206" s="78"/>
      <c r="B206" s="24" t="s">
        <v>14</v>
      </c>
      <c r="C206" s="79" t="s">
        <v>15</v>
      </c>
      <c r="D206" s="79">
        <v>0.11</v>
      </c>
      <c r="E206" s="58">
        <f>D206*E201</f>
        <v>169.5309</v>
      </c>
      <c r="F206" s="58">
        <v>4</v>
      </c>
      <c r="G206" s="56">
        <f>F206*E206</f>
        <v>678.12360000000001</v>
      </c>
      <c r="H206" s="58"/>
      <c r="I206" s="58"/>
      <c r="J206" s="58"/>
      <c r="K206" s="58"/>
      <c r="L206" s="57">
        <f>K206+I206+G206</f>
        <v>678.12360000000001</v>
      </c>
    </row>
    <row r="207" spans="1:12" s="69" customFormat="1" ht="27.6" customHeight="1" x14ac:dyDescent="0.3">
      <c r="A207" s="68">
        <f>A201+1</f>
        <v>7</v>
      </c>
      <c r="B207" s="74" t="s">
        <v>72</v>
      </c>
      <c r="C207" s="75" t="s">
        <v>33</v>
      </c>
      <c r="D207" s="75"/>
      <c r="E207" s="76">
        <f>E183+E189</f>
        <v>1204</v>
      </c>
      <c r="F207" s="56"/>
      <c r="G207" s="76"/>
      <c r="H207" s="76"/>
      <c r="I207" s="76"/>
      <c r="J207" s="76"/>
      <c r="K207" s="76"/>
      <c r="L207" s="77"/>
    </row>
    <row r="208" spans="1:12" s="69" customFormat="1" ht="13.95" customHeight="1" x14ac:dyDescent="0.3">
      <c r="A208" s="78"/>
      <c r="B208" s="24" t="s">
        <v>8</v>
      </c>
      <c r="C208" s="79" t="s">
        <v>33</v>
      </c>
      <c r="D208" s="79">
        <v>1</v>
      </c>
      <c r="E208" s="58">
        <f>E207*D208</f>
        <v>1204</v>
      </c>
      <c r="F208" s="56"/>
      <c r="G208" s="56"/>
      <c r="H208" s="58">
        <f>25/0.8/0.98</f>
        <v>31.887755102040817</v>
      </c>
      <c r="I208" s="58">
        <f>H208*E208</f>
        <v>38392.857142857145</v>
      </c>
      <c r="J208" s="58"/>
      <c r="K208" s="58"/>
      <c r="L208" s="57">
        <f t="shared" ref="L208:L214" si="15">K208+I208+G208</f>
        <v>38392.857142857145</v>
      </c>
    </row>
    <row r="209" spans="1:12" s="69" customFormat="1" ht="13.95" customHeight="1" x14ac:dyDescent="0.3">
      <c r="A209" s="78"/>
      <c r="B209" s="24" t="s">
        <v>10</v>
      </c>
      <c r="C209" s="79" t="s">
        <v>15</v>
      </c>
      <c r="D209" s="79">
        <f>0.08</f>
        <v>0.08</v>
      </c>
      <c r="E209" s="58">
        <f>D209*E207</f>
        <v>96.320000000000007</v>
      </c>
      <c r="F209" s="56"/>
      <c r="G209" s="56"/>
      <c r="H209" s="58"/>
      <c r="I209" s="58"/>
      <c r="J209" s="58">
        <v>4</v>
      </c>
      <c r="K209" s="58">
        <f>J209*E209</f>
        <v>385.28000000000003</v>
      </c>
      <c r="L209" s="57">
        <f t="shared" si="15"/>
        <v>385.28000000000003</v>
      </c>
    </row>
    <row r="210" spans="1:12" s="69" customFormat="1" ht="13.95" customHeight="1" x14ac:dyDescent="0.3">
      <c r="A210" s="78"/>
      <c r="B210" s="24" t="s">
        <v>12</v>
      </c>
      <c r="C210" s="79"/>
      <c r="D210" s="79"/>
      <c r="E210" s="58"/>
      <c r="F210" s="56"/>
      <c r="G210" s="56"/>
      <c r="H210" s="58"/>
      <c r="I210" s="58"/>
      <c r="J210" s="58"/>
      <c r="K210" s="58"/>
      <c r="L210" s="57">
        <f t="shared" si="15"/>
        <v>0</v>
      </c>
    </row>
    <row r="211" spans="1:12" s="69" customFormat="1" ht="13.95" customHeight="1" x14ac:dyDescent="0.3">
      <c r="A211" s="78"/>
      <c r="B211" s="24" t="s">
        <v>37</v>
      </c>
      <c r="C211" s="79" t="s">
        <v>33</v>
      </c>
      <c r="D211" s="79">
        <f>1.05</f>
        <v>1.05</v>
      </c>
      <c r="E211" s="58">
        <f>D211*E207</f>
        <v>1264.2</v>
      </c>
      <c r="F211" s="56">
        <f>30/1.18</f>
        <v>25.423728813559322</v>
      </c>
      <c r="G211" s="56">
        <f>F211*E211</f>
        <v>32140.677966101695</v>
      </c>
      <c r="H211" s="58"/>
      <c r="I211" s="58"/>
      <c r="J211" s="58"/>
      <c r="K211" s="58"/>
      <c r="L211" s="57">
        <f t="shared" si="15"/>
        <v>32140.677966101695</v>
      </c>
    </row>
    <row r="212" spans="1:12" s="69" customFormat="1" ht="13.95" customHeight="1" x14ac:dyDescent="0.3">
      <c r="A212" s="78"/>
      <c r="B212" s="24" t="s">
        <v>38</v>
      </c>
      <c r="C212" s="79" t="s">
        <v>13</v>
      </c>
      <c r="D212" s="79">
        <v>7</v>
      </c>
      <c r="E212" s="58">
        <f>D212*E207</f>
        <v>8428</v>
      </c>
      <c r="F212" s="56">
        <f>18/25/1.18</f>
        <v>0.61016949152542377</v>
      </c>
      <c r="G212" s="56">
        <f>F212*E212</f>
        <v>5142.5084745762715</v>
      </c>
      <c r="H212" s="58"/>
      <c r="I212" s="58"/>
      <c r="J212" s="58"/>
      <c r="K212" s="58"/>
      <c r="L212" s="57">
        <f t="shared" si="15"/>
        <v>5142.5084745762715</v>
      </c>
    </row>
    <row r="213" spans="1:12" s="69" customFormat="1" ht="13.95" customHeight="1" x14ac:dyDescent="0.3">
      <c r="A213" s="78"/>
      <c r="B213" s="24" t="s">
        <v>39</v>
      </c>
      <c r="C213" s="79" t="s">
        <v>13</v>
      </c>
      <c r="D213" s="79">
        <v>0.15</v>
      </c>
      <c r="E213" s="58">
        <f>D213*E207</f>
        <v>180.6</v>
      </c>
      <c r="F213" s="56">
        <f>4.5/1.18</f>
        <v>3.8135593220338984</v>
      </c>
      <c r="G213" s="56">
        <f>F213*E213</f>
        <v>688.72881355932202</v>
      </c>
      <c r="H213" s="58"/>
      <c r="I213" s="58"/>
      <c r="J213" s="58"/>
      <c r="K213" s="58"/>
      <c r="L213" s="57">
        <f t="shared" si="15"/>
        <v>688.72881355932202</v>
      </c>
    </row>
    <row r="214" spans="1:12" s="69" customFormat="1" ht="13.95" customHeight="1" x14ac:dyDescent="0.3">
      <c r="A214" s="78"/>
      <c r="B214" s="24" t="s">
        <v>14</v>
      </c>
      <c r="C214" s="79" t="s">
        <v>15</v>
      </c>
      <c r="D214" s="79">
        <f>0.19</f>
        <v>0.19</v>
      </c>
      <c r="E214" s="58">
        <f>D214*E207</f>
        <v>228.76</v>
      </c>
      <c r="F214" s="56">
        <v>4</v>
      </c>
      <c r="G214" s="56">
        <f>F214*E214</f>
        <v>915.04</v>
      </c>
      <c r="H214" s="58"/>
      <c r="I214" s="58"/>
      <c r="J214" s="58"/>
      <c r="K214" s="58"/>
      <c r="L214" s="57">
        <f t="shared" si="15"/>
        <v>915.04</v>
      </c>
    </row>
    <row r="215" spans="1:12" s="69" customFormat="1" ht="13.95" customHeight="1" x14ac:dyDescent="0.3">
      <c r="A215" s="68">
        <f>A207+1</f>
        <v>8</v>
      </c>
      <c r="B215" s="74" t="s">
        <v>71</v>
      </c>
      <c r="C215" s="75" t="s">
        <v>33</v>
      </c>
      <c r="D215" s="75"/>
      <c r="E215" s="76">
        <f>E201</f>
        <v>1541.19</v>
      </c>
      <c r="F215" s="56"/>
      <c r="G215" s="76"/>
      <c r="H215" s="76"/>
      <c r="I215" s="76"/>
      <c r="J215" s="76"/>
      <c r="K215" s="76"/>
      <c r="L215" s="77"/>
    </row>
    <row r="216" spans="1:12" s="69" customFormat="1" ht="13.95" customHeight="1" x14ac:dyDescent="0.3">
      <c r="A216" s="78"/>
      <c r="B216" s="24" t="s">
        <v>8</v>
      </c>
      <c r="C216" s="79" t="s">
        <v>33</v>
      </c>
      <c r="D216" s="79">
        <v>1</v>
      </c>
      <c r="E216" s="58">
        <f>E215*D216</f>
        <v>1541.19</v>
      </c>
      <c r="F216" s="56"/>
      <c r="G216" s="56"/>
      <c r="H216" s="58">
        <f>25/0.8/0.98</f>
        <v>31.887755102040817</v>
      </c>
      <c r="I216" s="58">
        <f>H216*E216</f>
        <v>49145.08928571429</v>
      </c>
      <c r="J216" s="58"/>
      <c r="K216" s="58"/>
      <c r="L216" s="57">
        <f t="shared" ref="L216:L222" si="16">K216+I216+G216</f>
        <v>49145.08928571429</v>
      </c>
    </row>
    <row r="217" spans="1:12" s="69" customFormat="1" ht="13.95" customHeight="1" x14ac:dyDescent="0.3">
      <c r="A217" s="78"/>
      <c r="B217" s="24" t="s">
        <v>10</v>
      </c>
      <c r="C217" s="79" t="s">
        <v>15</v>
      </c>
      <c r="D217" s="79">
        <f>0.08</f>
        <v>0.08</v>
      </c>
      <c r="E217" s="58">
        <f>D217*E215</f>
        <v>123.29520000000001</v>
      </c>
      <c r="F217" s="56"/>
      <c r="G217" s="56"/>
      <c r="H217" s="58"/>
      <c r="I217" s="58"/>
      <c r="J217" s="58">
        <v>4</v>
      </c>
      <c r="K217" s="58">
        <f>J217*E217</f>
        <v>493.18080000000003</v>
      </c>
      <c r="L217" s="57">
        <f t="shared" si="16"/>
        <v>493.18080000000003</v>
      </c>
    </row>
    <row r="218" spans="1:12" s="69" customFormat="1" ht="13.95" customHeight="1" x14ac:dyDescent="0.3">
      <c r="A218" s="78"/>
      <c r="B218" s="24" t="s">
        <v>12</v>
      </c>
      <c r="C218" s="79"/>
      <c r="D218" s="79"/>
      <c r="E218" s="58"/>
      <c r="F218" s="56"/>
      <c r="G218" s="56"/>
      <c r="H218" s="58"/>
      <c r="I218" s="58"/>
      <c r="J218" s="58"/>
      <c r="K218" s="58"/>
      <c r="L218" s="57">
        <f t="shared" si="16"/>
        <v>0</v>
      </c>
    </row>
    <row r="219" spans="1:12" s="69" customFormat="1" ht="13.95" customHeight="1" x14ac:dyDescent="0.3">
      <c r="A219" s="78"/>
      <c r="B219" s="24" t="s">
        <v>37</v>
      </c>
      <c r="C219" s="79" t="s">
        <v>33</v>
      </c>
      <c r="D219" s="79">
        <f>1.05</f>
        <v>1.05</v>
      </c>
      <c r="E219" s="58">
        <f>D219*E215</f>
        <v>1618.2495000000001</v>
      </c>
      <c r="F219" s="56">
        <f>F211</f>
        <v>25.423728813559322</v>
      </c>
      <c r="G219" s="56">
        <f>F219*E219</f>
        <v>41141.936440677971</v>
      </c>
      <c r="H219" s="58"/>
      <c r="I219" s="58"/>
      <c r="J219" s="58"/>
      <c r="K219" s="58"/>
      <c r="L219" s="57">
        <f t="shared" si="16"/>
        <v>41141.936440677971</v>
      </c>
    </row>
    <row r="220" spans="1:12" s="69" customFormat="1" ht="13.95" customHeight="1" x14ac:dyDescent="0.3">
      <c r="A220" s="78"/>
      <c r="B220" s="24" t="s">
        <v>38</v>
      </c>
      <c r="C220" s="79" t="s">
        <v>13</v>
      </c>
      <c r="D220" s="79">
        <v>7</v>
      </c>
      <c r="E220" s="58">
        <f>D220*E215</f>
        <v>10788.33</v>
      </c>
      <c r="F220" s="56">
        <f>18/25/1.18</f>
        <v>0.61016949152542377</v>
      </c>
      <c r="G220" s="56">
        <f>F220*E220</f>
        <v>6582.7098305084746</v>
      </c>
      <c r="H220" s="58"/>
      <c r="I220" s="58"/>
      <c r="J220" s="58"/>
      <c r="K220" s="58"/>
      <c r="L220" s="57">
        <f t="shared" si="16"/>
        <v>6582.7098305084746</v>
      </c>
    </row>
    <row r="221" spans="1:12" s="69" customFormat="1" ht="13.95" customHeight="1" x14ac:dyDescent="0.3">
      <c r="A221" s="78"/>
      <c r="B221" s="24" t="s">
        <v>39</v>
      </c>
      <c r="C221" s="79" t="s">
        <v>13</v>
      </c>
      <c r="D221" s="79">
        <v>0.15</v>
      </c>
      <c r="E221" s="58">
        <f>D221*E215</f>
        <v>231.17849999999999</v>
      </c>
      <c r="F221" s="56">
        <f>4.5/1.18</f>
        <v>3.8135593220338984</v>
      </c>
      <c r="G221" s="56">
        <f>F221*E221</f>
        <v>881.61292372881348</v>
      </c>
      <c r="H221" s="58"/>
      <c r="I221" s="58"/>
      <c r="J221" s="58"/>
      <c r="K221" s="58"/>
      <c r="L221" s="57">
        <f t="shared" si="16"/>
        <v>881.61292372881348</v>
      </c>
    </row>
    <row r="222" spans="1:12" s="69" customFormat="1" ht="13.95" customHeight="1" x14ac:dyDescent="0.3">
      <c r="A222" s="78"/>
      <c r="B222" s="24" t="s">
        <v>14</v>
      </c>
      <c r="C222" s="79" t="s">
        <v>15</v>
      </c>
      <c r="D222" s="79">
        <f>0.19</f>
        <v>0.19</v>
      </c>
      <c r="E222" s="58">
        <f>D222*E215</f>
        <v>292.8261</v>
      </c>
      <c r="F222" s="56">
        <v>4</v>
      </c>
      <c r="G222" s="56">
        <f>F222*E222</f>
        <v>1171.3044</v>
      </c>
      <c r="H222" s="58"/>
      <c r="I222" s="58"/>
      <c r="J222" s="58"/>
      <c r="K222" s="58"/>
      <c r="L222" s="57">
        <f t="shared" si="16"/>
        <v>1171.3044</v>
      </c>
    </row>
    <row r="223" spans="1:12" s="69" customFormat="1" ht="13.95" customHeight="1" x14ac:dyDescent="0.3">
      <c r="A223" s="68">
        <f>A215+1</f>
        <v>9</v>
      </c>
      <c r="B223" s="74" t="s">
        <v>40</v>
      </c>
      <c r="C223" s="75" t="s">
        <v>7</v>
      </c>
      <c r="D223" s="75"/>
      <c r="E223" s="76">
        <f>(E207+E215)*0.7</f>
        <v>1921.6329999999998</v>
      </c>
      <c r="F223" s="56"/>
      <c r="G223" s="76"/>
      <c r="H223" s="76"/>
      <c r="I223" s="76"/>
      <c r="J223" s="76"/>
      <c r="K223" s="76"/>
      <c r="L223" s="77"/>
    </row>
    <row r="224" spans="1:12" s="69" customFormat="1" ht="13.95" customHeight="1" x14ac:dyDescent="0.3">
      <c r="A224" s="78"/>
      <c r="B224" s="24" t="s">
        <v>8</v>
      </c>
      <c r="C224" s="79" t="s">
        <v>7</v>
      </c>
      <c r="D224" s="79">
        <v>1</v>
      </c>
      <c r="E224" s="58">
        <f>E223*D224</f>
        <v>1921.6329999999998</v>
      </c>
      <c r="F224" s="56"/>
      <c r="G224" s="56"/>
      <c r="H224" s="58">
        <f>10/0.8/0.98</f>
        <v>12.755102040816327</v>
      </c>
      <c r="I224" s="58">
        <f>H224*E224</f>
        <v>24510.625</v>
      </c>
      <c r="J224" s="58"/>
      <c r="K224" s="58"/>
      <c r="L224" s="57">
        <f t="shared" ref="L224:L230" si="17">K224+I224+G224</f>
        <v>24510.625</v>
      </c>
    </row>
    <row r="225" spans="1:12" s="69" customFormat="1" ht="13.95" customHeight="1" x14ac:dyDescent="0.3">
      <c r="A225" s="78"/>
      <c r="B225" s="24" t="s">
        <v>10</v>
      </c>
      <c r="C225" s="79" t="s">
        <v>15</v>
      </c>
      <c r="D225" s="79">
        <f>0.08*0.1</f>
        <v>8.0000000000000002E-3</v>
      </c>
      <c r="E225" s="58">
        <f>D225*E223</f>
        <v>15.373063999999999</v>
      </c>
      <c r="F225" s="56"/>
      <c r="G225" s="56"/>
      <c r="H225" s="58"/>
      <c r="I225" s="58"/>
      <c r="J225" s="58">
        <v>4</v>
      </c>
      <c r="K225" s="58">
        <f>J225*E225</f>
        <v>61.492255999999998</v>
      </c>
      <c r="L225" s="57">
        <f t="shared" si="17"/>
        <v>61.492255999999998</v>
      </c>
    </row>
    <row r="226" spans="1:12" s="69" customFormat="1" ht="13.95" customHeight="1" x14ac:dyDescent="0.3">
      <c r="A226" s="78"/>
      <c r="B226" s="24" t="s">
        <v>12</v>
      </c>
      <c r="C226" s="79"/>
      <c r="D226" s="79"/>
      <c r="E226" s="58"/>
      <c r="F226" s="56"/>
      <c r="G226" s="56"/>
      <c r="H226" s="58"/>
      <c r="I226" s="58"/>
      <c r="J226" s="58"/>
      <c r="K226" s="58"/>
      <c r="L226" s="57">
        <f t="shared" si="17"/>
        <v>0</v>
      </c>
    </row>
    <row r="227" spans="1:12" s="69" customFormat="1" ht="13.95" customHeight="1" x14ac:dyDescent="0.3">
      <c r="A227" s="78"/>
      <c r="B227" s="24" t="s">
        <v>37</v>
      </c>
      <c r="C227" s="79" t="s">
        <v>33</v>
      </c>
      <c r="D227" s="79">
        <f>1.05*0.1</f>
        <v>0.10500000000000001</v>
      </c>
      <c r="E227" s="58">
        <f>D227*E223</f>
        <v>201.77146500000001</v>
      </c>
      <c r="F227" s="56">
        <f>F219</f>
        <v>25.423728813559322</v>
      </c>
      <c r="G227" s="56">
        <f>F227*E227</f>
        <v>5129.7830084745765</v>
      </c>
      <c r="H227" s="58"/>
      <c r="I227" s="58"/>
      <c r="J227" s="58"/>
      <c r="K227" s="58"/>
      <c r="L227" s="57">
        <f t="shared" si="17"/>
        <v>5129.7830084745765</v>
      </c>
    </row>
    <row r="228" spans="1:12" s="69" customFormat="1" ht="13.95" customHeight="1" x14ac:dyDescent="0.3">
      <c r="A228" s="78"/>
      <c r="B228" s="24" t="s">
        <v>38</v>
      </c>
      <c r="C228" s="79" t="s">
        <v>13</v>
      </c>
      <c r="D228" s="79">
        <f>7*0.1</f>
        <v>0.70000000000000007</v>
      </c>
      <c r="E228" s="58">
        <f>D228*E223</f>
        <v>1345.1431</v>
      </c>
      <c r="F228" s="56">
        <f>18/25/1.18</f>
        <v>0.61016949152542377</v>
      </c>
      <c r="G228" s="56">
        <f>F228*E228</f>
        <v>820.7652813559323</v>
      </c>
      <c r="H228" s="58"/>
      <c r="I228" s="58"/>
      <c r="J228" s="58"/>
      <c r="K228" s="58"/>
      <c r="L228" s="57">
        <f t="shared" si="17"/>
        <v>820.7652813559323</v>
      </c>
    </row>
    <row r="229" spans="1:12" s="69" customFormat="1" ht="13.95" customHeight="1" x14ac:dyDescent="0.3">
      <c r="A229" s="78"/>
      <c r="B229" s="24" t="s">
        <v>39</v>
      </c>
      <c r="C229" s="79" t="s">
        <v>13</v>
      </c>
      <c r="D229" s="79">
        <f>0.15*0.1</f>
        <v>1.4999999999999999E-2</v>
      </c>
      <c r="E229" s="58">
        <f>D229*E223</f>
        <v>28.824494999999995</v>
      </c>
      <c r="F229" s="56">
        <f>4.5/1.18</f>
        <v>3.8135593220338984</v>
      </c>
      <c r="G229" s="56">
        <f>F229*E229</f>
        <v>109.92392161016947</v>
      </c>
      <c r="H229" s="58"/>
      <c r="I229" s="58"/>
      <c r="J229" s="58"/>
      <c r="K229" s="58"/>
      <c r="L229" s="57">
        <f t="shared" si="17"/>
        <v>109.92392161016947</v>
      </c>
    </row>
    <row r="230" spans="1:12" s="69" customFormat="1" ht="13.95" customHeight="1" x14ac:dyDescent="0.3">
      <c r="A230" s="78"/>
      <c r="B230" s="24" t="s">
        <v>14</v>
      </c>
      <c r="C230" s="79" t="s">
        <v>15</v>
      </c>
      <c r="D230" s="79">
        <f>0.93*0.1</f>
        <v>9.3000000000000013E-2</v>
      </c>
      <c r="E230" s="58">
        <f>D230*E223</f>
        <v>178.71186900000001</v>
      </c>
      <c r="F230" s="56">
        <v>4</v>
      </c>
      <c r="G230" s="56">
        <f>F230*E230</f>
        <v>714.84747600000003</v>
      </c>
      <c r="H230" s="58"/>
      <c r="I230" s="58"/>
      <c r="J230" s="58"/>
      <c r="K230" s="58"/>
      <c r="L230" s="57">
        <f t="shared" si="17"/>
        <v>714.84747600000003</v>
      </c>
    </row>
    <row r="231" spans="1:12" s="69" customFormat="1" ht="45" customHeight="1" x14ac:dyDescent="0.3">
      <c r="A231" s="68">
        <f>A223+1</f>
        <v>10</v>
      </c>
      <c r="B231" s="74" t="s">
        <v>85</v>
      </c>
      <c r="C231" s="75" t="s">
        <v>33</v>
      </c>
      <c r="D231" s="75"/>
      <c r="E231" s="76">
        <v>1143</v>
      </c>
      <c r="F231" s="76"/>
      <c r="G231" s="76"/>
      <c r="H231" s="76"/>
      <c r="I231" s="76"/>
      <c r="J231" s="76"/>
      <c r="K231" s="76"/>
      <c r="L231" s="77"/>
    </row>
    <row r="232" spans="1:12" s="69" customFormat="1" ht="12.75" customHeight="1" x14ac:dyDescent="0.3">
      <c r="A232" s="78"/>
      <c r="B232" s="24" t="s">
        <v>8</v>
      </c>
      <c r="C232" s="79" t="s">
        <v>33</v>
      </c>
      <c r="D232" s="79">
        <v>1</v>
      </c>
      <c r="E232" s="58">
        <f>E231*D232</f>
        <v>1143</v>
      </c>
      <c r="F232" s="58"/>
      <c r="G232" s="56"/>
      <c r="H232" s="58">
        <f>12/0.8/0.98</f>
        <v>15.306122448979592</v>
      </c>
      <c r="I232" s="58">
        <f>E232*H232</f>
        <v>17494.897959183672</v>
      </c>
      <c r="J232" s="58"/>
      <c r="K232" s="58"/>
      <c r="L232" s="57">
        <f t="shared" ref="L232:L244" si="18">G232+I232+K232</f>
        <v>17494.897959183672</v>
      </c>
    </row>
    <row r="233" spans="1:12" s="69" customFormat="1" ht="12.75" customHeight="1" x14ac:dyDescent="0.3">
      <c r="A233" s="78"/>
      <c r="B233" s="24" t="s">
        <v>12</v>
      </c>
      <c r="C233" s="79"/>
      <c r="D233" s="79"/>
      <c r="E233" s="58"/>
      <c r="F233" s="58"/>
      <c r="G233" s="56"/>
      <c r="H233" s="58"/>
      <c r="I233" s="58"/>
      <c r="J233" s="58"/>
      <c r="K233" s="58"/>
      <c r="L233" s="57">
        <f t="shared" si="18"/>
        <v>0</v>
      </c>
    </row>
    <row r="234" spans="1:12" s="69" customFormat="1" ht="12.75" customHeight="1" x14ac:dyDescent="0.3">
      <c r="A234" s="78"/>
      <c r="B234" s="24" t="s">
        <v>75</v>
      </c>
      <c r="C234" s="79" t="s">
        <v>33</v>
      </c>
      <c r="D234" s="79">
        <v>2.1</v>
      </c>
      <c r="E234" s="58">
        <f>D234*E231</f>
        <v>2400.3000000000002</v>
      </c>
      <c r="F234" s="58">
        <f>17.3/3/1.18</f>
        <v>4.8870056497175147</v>
      </c>
      <c r="G234" s="56">
        <f t="shared" ref="G234:G244" si="19">F234*E234</f>
        <v>11730.279661016952</v>
      </c>
      <c r="H234" s="58"/>
      <c r="I234" s="58"/>
      <c r="J234" s="58"/>
      <c r="K234" s="58"/>
      <c r="L234" s="57">
        <f t="shared" si="18"/>
        <v>11730.279661016952</v>
      </c>
    </row>
    <row r="235" spans="1:12" s="69" customFormat="1" ht="12.75" customHeight="1" x14ac:dyDescent="0.3">
      <c r="A235" s="78"/>
      <c r="B235" s="24" t="s">
        <v>76</v>
      </c>
      <c r="C235" s="79" t="s">
        <v>7</v>
      </c>
      <c r="D235" s="79">
        <v>2</v>
      </c>
      <c r="E235" s="58">
        <f>D235*E231</f>
        <v>2286</v>
      </c>
      <c r="F235" s="58">
        <f>10.9/3/1.18</f>
        <v>3.0790960451977401</v>
      </c>
      <c r="G235" s="56">
        <f t="shared" si="19"/>
        <v>7038.8135593220341</v>
      </c>
      <c r="H235" s="58"/>
      <c r="I235" s="58"/>
      <c r="J235" s="58"/>
      <c r="K235" s="58"/>
      <c r="L235" s="57">
        <f t="shared" si="18"/>
        <v>7038.8135593220341</v>
      </c>
    </row>
    <row r="236" spans="1:12" s="69" customFormat="1" ht="12.75" customHeight="1" x14ac:dyDescent="0.3">
      <c r="A236" s="78"/>
      <c r="B236" s="24" t="s">
        <v>77</v>
      </c>
      <c r="C236" s="79" t="s">
        <v>7</v>
      </c>
      <c r="D236" s="79">
        <v>0.7</v>
      </c>
      <c r="E236" s="58">
        <f>D236*E231</f>
        <v>800.09999999999991</v>
      </c>
      <c r="F236" s="58">
        <f>8.2/3/1.18</f>
        <v>2.3163841807909602</v>
      </c>
      <c r="G236" s="56">
        <f t="shared" si="19"/>
        <v>1853.338983050847</v>
      </c>
      <c r="H236" s="58"/>
      <c r="I236" s="58"/>
      <c r="J236" s="58"/>
      <c r="K236" s="58"/>
      <c r="L236" s="57">
        <f t="shared" si="18"/>
        <v>1853.338983050847</v>
      </c>
    </row>
    <row r="237" spans="1:12" s="69" customFormat="1" ht="12.75" customHeight="1" x14ac:dyDescent="0.3">
      <c r="A237" s="78"/>
      <c r="B237" s="24" t="s">
        <v>78</v>
      </c>
      <c r="C237" s="79" t="s">
        <v>9</v>
      </c>
      <c r="D237" s="79">
        <v>0.7</v>
      </c>
      <c r="E237" s="58">
        <f>D237*E231</f>
        <v>800.09999999999991</v>
      </c>
      <c r="F237" s="58">
        <f>0.65/1.18</f>
        <v>0.55084745762711873</v>
      </c>
      <c r="G237" s="56">
        <f t="shared" si="19"/>
        <v>440.73305084745766</v>
      </c>
      <c r="H237" s="58"/>
      <c r="I237" s="58"/>
      <c r="J237" s="58"/>
      <c r="K237" s="58"/>
      <c r="L237" s="57">
        <f t="shared" si="18"/>
        <v>440.73305084745766</v>
      </c>
    </row>
    <row r="238" spans="1:12" s="69" customFormat="1" ht="12.75" customHeight="1" x14ac:dyDescent="0.3">
      <c r="A238" s="78"/>
      <c r="B238" s="24" t="s">
        <v>79</v>
      </c>
      <c r="C238" s="79" t="s">
        <v>9</v>
      </c>
      <c r="D238" s="79">
        <v>1.6</v>
      </c>
      <c r="E238" s="58">
        <f>D238*E231</f>
        <v>1828.8000000000002</v>
      </c>
      <c r="F238" s="58">
        <f>9.5/100/1.18</f>
        <v>8.0508474576271194E-2</v>
      </c>
      <c r="G238" s="56">
        <f t="shared" si="19"/>
        <v>147.23389830508478</v>
      </c>
      <c r="H238" s="58"/>
      <c r="I238" s="58"/>
      <c r="J238" s="58"/>
      <c r="K238" s="58"/>
      <c r="L238" s="57">
        <f t="shared" si="18"/>
        <v>147.23389830508478</v>
      </c>
    </row>
    <row r="239" spans="1:12" s="69" customFormat="1" ht="12.75" customHeight="1" x14ac:dyDescent="0.3">
      <c r="A239" s="78"/>
      <c r="B239" s="24" t="s">
        <v>80</v>
      </c>
      <c r="C239" s="79" t="s">
        <v>9</v>
      </c>
      <c r="D239" s="79">
        <v>1.5</v>
      </c>
      <c r="E239" s="58">
        <f>D239*E231</f>
        <v>1714.5</v>
      </c>
      <c r="F239" s="58">
        <f>37/1000/1.18</f>
        <v>3.1355932203389829E-2</v>
      </c>
      <c r="G239" s="56">
        <f t="shared" si="19"/>
        <v>53.759745762711859</v>
      </c>
      <c r="H239" s="58"/>
      <c r="I239" s="58"/>
      <c r="J239" s="58"/>
      <c r="K239" s="58"/>
      <c r="L239" s="57">
        <f t="shared" si="18"/>
        <v>53.759745762711859</v>
      </c>
    </row>
    <row r="240" spans="1:12" s="69" customFormat="1" ht="12.75" customHeight="1" x14ac:dyDescent="0.3">
      <c r="A240" s="78"/>
      <c r="B240" s="24" t="s">
        <v>81</v>
      </c>
      <c r="C240" s="79" t="s">
        <v>9</v>
      </c>
      <c r="D240" s="79">
        <v>7</v>
      </c>
      <c r="E240" s="58">
        <f>D240*E231</f>
        <v>8001</v>
      </c>
      <c r="F240" s="58">
        <f>32/1000/1.18</f>
        <v>2.7118644067796613E-2</v>
      </c>
      <c r="G240" s="56">
        <f t="shared" si="19"/>
        <v>216.9762711864407</v>
      </c>
      <c r="H240" s="58"/>
      <c r="I240" s="58"/>
      <c r="J240" s="58"/>
      <c r="K240" s="58"/>
      <c r="L240" s="57">
        <f t="shared" si="18"/>
        <v>216.9762711864407</v>
      </c>
    </row>
    <row r="241" spans="1:12" s="69" customFormat="1" ht="12.75" customHeight="1" x14ac:dyDescent="0.3">
      <c r="A241" s="78"/>
      <c r="B241" s="24" t="s">
        <v>82</v>
      </c>
      <c r="C241" s="79" t="s">
        <v>9</v>
      </c>
      <c r="D241" s="79">
        <v>15</v>
      </c>
      <c r="E241" s="58">
        <f>D241*E231</f>
        <v>17145</v>
      </c>
      <c r="F241" s="58">
        <f>37/1000/1.18</f>
        <v>3.1355932203389829E-2</v>
      </c>
      <c r="G241" s="56">
        <f t="shared" si="19"/>
        <v>537.59745762711862</v>
      </c>
      <c r="H241" s="58"/>
      <c r="I241" s="58"/>
      <c r="J241" s="58"/>
      <c r="K241" s="58"/>
      <c r="L241" s="57">
        <f t="shared" si="18"/>
        <v>537.59745762711862</v>
      </c>
    </row>
    <row r="242" spans="1:12" s="69" customFormat="1" ht="12.75" customHeight="1" x14ac:dyDescent="0.3">
      <c r="A242" s="78"/>
      <c r="B242" s="24" t="s">
        <v>83</v>
      </c>
      <c r="C242" s="79" t="s">
        <v>7</v>
      </c>
      <c r="D242" s="79">
        <v>0.5</v>
      </c>
      <c r="E242" s="58">
        <f>D242*E231</f>
        <v>571.5</v>
      </c>
      <c r="F242" s="58">
        <f>23/30/1.18</f>
        <v>0.6497175141242939</v>
      </c>
      <c r="G242" s="56">
        <f t="shared" si="19"/>
        <v>371.31355932203394</v>
      </c>
      <c r="H242" s="58"/>
      <c r="I242" s="58"/>
      <c r="J242" s="58"/>
      <c r="K242" s="58"/>
      <c r="L242" s="57">
        <f t="shared" si="18"/>
        <v>371.31355932203394</v>
      </c>
    </row>
    <row r="243" spans="1:12" s="69" customFormat="1" ht="12.75" customHeight="1" x14ac:dyDescent="0.3">
      <c r="A243" s="78"/>
      <c r="B243" s="24" t="s">
        <v>86</v>
      </c>
      <c r="C243" s="79" t="s">
        <v>33</v>
      </c>
      <c r="D243" s="79">
        <v>1.05</v>
      </c>
      <c r="E243" s="58">
        <f>D243*E231</f>
        <v>1200.1500000000001</v>
      </c>
      <c r="F243" s="58">
        <f>16/1.18</f>
        <v>13.559322033898306</v>
      </c>
      <c r="G243" s="56">
        <f t="shared" si="19"/>
        <v>16273.220338983054</v>
      </c>
      <c r="H243" s="58"/>
      <c r="I243" s="58"/>
      <c r="J243" s="58"/>
      <c r="K243" s="58"/>
      <c r="L243" s="57">
        <f t="shared" si="18"/>
        <v>16273.220338983054</v>
      </c>
    </row>
    <row r="244" spans="1:12" s="69" customFormat="1" ht="12.75" customHeight="1" x14ac:dyDescent="0.3">
      <c r="A244" s="78"/>
      <c r="B244" s="24" t="s">
        <v>84</v>
      </c>
      <c r="C244" s="79" t="s">
        <v>7</v>
      </c>
      <c r="D244" s="79">
        <v>0.2</v>
      </c>
      <c r="E244" s="58">
        <f>D244*E231</f>
        <v>228.60000000000002</v>
      </c>
      <c r="F244" s="58">
        <f>3.9/3/1.18</f>
        <v>1.1016949152542375</v>
      </c>
      <c r="G244" s="56">
        <f t="shared" si="19"/>
        <v>251.8474576271187</v>
      </c>
      <c r="H244" s="58"/>
      <c r="I244" s="58"/>
      <c r="J244" s="58"/>
      <c r="K244" s="58"/>
      <c r="L244" s="57">
        <f t="shared" si="18"/>
        <v>251.8474576271187</v>
      </c>
    </row>
    <row r="245" spans="1:12" s="69" customFormat="1" ht="45" customHeight="1" x14ac:dyDescent="0.3">
      <c r="A245" s="68">
        <v>11</v>
      </c>
      <c r="B245" s="74" t="s">
        <v>149</v>
      </c>
      <c r="C245" s="75" t="s">
        <v>33</v>
      </c>
      <c r="D245" s="75"/>
      <c r="E245" s="76">
        <v>286</v>
      </c>
      <c r="F245" s="76"/>
      <c r="G245" s="76"/>
      <c r="H245" s="76"/>
      <c r="I245" s="76"/>
      <c r="J245" s="76"/>
      <c r="K245" s="76"/>
      <c r="L245" s="77"/>
    </row>
    <row r="246" spans="1:12" s="69" customFormat="1" ht="12.75" customHeight="1" x14ac:dyDescent="0.3">
      <c r="A246" s="78"/>
      <c r="B246" s="24" t="s">
        <v>8</v>
      </c>
      <c r="C246" s="79" t="s">
        <v>33</v>
      </c>
      <c r="D246" s="79">
        <v>1</v>
      </c>
      <c r="E246" s="58">
        <f>E245*D246</f>
        <v>286</v>
      </c>
      <c r="F246" s="58"/>
      <c r="G246" s="56"/>
      <c r="H246" s="58">
        <f>12/0.8/0.98</f>
        <v>15.306122448979592</v>
      </c>
      <c r="I246" s="58">
        <f>E246*H246</f>
        <v>4377.5510204081629</v>
      </c>
      <c r="J246" s="58"/>
      <c r="K246" s="58"/>
      <c r="L246" s="57">
        <f t="shared" ref="L246:L258" si="20">G246+I246+K246</f>
        <v>4377.5510204081629</v>
      </c>
    </row>
    <row r="247" spans="1:12" s="69" customFormat="1" ht="12.75" customHeight="1" x14ac:dyDescent="0.3">
      <c r="A247" s="78"/>
      <c r="B247" s="24" t="s">
        <v>12</v>
      </c>
      <c r="C247" s="79"/>
      <c r="D247" s="79"/>
      <c r="E247" s="58"/>
      <c r="F247" s="58"/>
      <c r="G247" s="56"/>
      <c r="H247" s="58"/>
      <c r="I247" s="58"/>
      <c r="J247" s="58"/>
      <c r="K247" s="58"/>
      <c r="L247" s="57">
        <f t="shared" si="20"/>
        <v>0</v>
      </c>
    </row>
    <row r="248" spans="1:12" s="69" customFormat="1" ht="12.75" customHeight="1" x14ac:dyDescent="0.3">
      <c r="A248" s="78"/>
      <c r="B248" s="24" t="s">
        <v>150</v>
      </c>
      <c r="C248" s="79" t="s">
        <v>33</v>
      </c>
      <c r="D248" s="79">
        <v>2.1</v>
      </c>
      <c r="E248" s="58">
        <f>D248*E245</f>
        <v>600.6</v>
      </c>
      <c r="F248" s="58">
        <f>17.3/3/1.18</f>
        <v>4.8870056497175147</v>
      </c>
      <c r="G248" s="56">
        <f t="shared" ref="G248:G258" si="21">F248*E248</f>
        <v>2935.1355932203396</v>
      </c>
      <c r="H248" s="58"/>
      <c r="I248" s="58"/>
      <c r="J248" s="58"/>
      <c r="K248" s="58"/>
      <c r="L248" s="57">
        <f t="shared" si="20"/>
        <v>2935.1355932203396</v>
      </c>
    </row>
    <row r="249" spans="1:12" s="69" customFormat="1" ht="12.75" customHeight="1" x14ac:dyDescent="0.3">
      <c r="A249" s="78"/>
      <c r="B249" s="24" t="s">
        <v>76</v>
      </c>
      <c r="C249" s="79" t="s">
        <v>7</v>
      </c>
      <c r="D249" s="79">
        <v>2</v>
      </c>
      <c r="E249" s="58">
        <f>D249*E245</f>
        <v>572</v>
      </c>
      <c r="F249" s="58">
        <f>10.9/3/1.18</f>
        <v>3.0790960451977401</v>
      </c>
      <c r="G249" s="56">
        <f t="shared" si="21"/>
        <v>1761.2429378531074</v>
      </c>
      <c r="H249" s="58"/>
      <c r="I249" s="58"/>
      <c r="J249" s="58"/>
      <c r="K249" s="58"/>
      <c r="L249" s="57">
        <f t="shared" si="20"/>
        <v>1761.2429378531074</v>
      </c>
    </row>
    <row r="250" spans="1:12" s="69" customFormat="1" ht="12.75" customHeight="1" x14ac:dyDescent="0.3">
      <c r="A250" s="78"/>
      <c r="B250" s="24" t="s">
        <v>77</v>
      </c>
      <c r="C250" s="79" t="s">
        <v>7</v>
      </c>
      <c r="D250" s="79">
        <v>0.7</v>
      </c>
      <c r="E250" s="58">
        <f>D250*E245</f>
        <v>200.2</v>
      </c>
      <c r="F250" s="58">
        <f>8.2/3/1.18</f>
        <v>2.3163841807909602</v>
      </c>
      <c r="G250" s="56">
        <f t="shared" si="21"/>
        <v>463.74011299435023</v>
      </c>
      <c r="H250" s="58"/>
      <c r="I250" s="58"/>
      <c r="J250" s="58"/>
      <c r="K250" s="58"/>
      <c r="L250" s="57">
        <f t="shared" si="20"/>
        <v>463.74011299435023</v>
      </c>
    </row>
    <row r="251" spans="1:12" s="69" customFormat="1" ht="12.75" customHeight="1" x14ac:dyDescent="0.3">
      <c r="A251" s="78"/>
      <c r="B251" s="24" t="s">
        <v>78</v>
      </c>
      <c r="C251" s="79" t="s">
        <v>9</v>
      </c>
      <c r="D251" s="79">
        <v>0.7</v>
      </c>
      <c r="E251" s="58">
        <f>D251*E245</f>
        <v>200.2</v>
      </c>
      <c r="F251" s="58">
        <f>0.65/1.18</f>
        <v>0.55084745762711873</v>
      </c>
      <c r="G251" s="56">
        <f t="shared" si="21"/>
        <v>110.27966101694916</v>
      </c>
      <c r="H251" s="58"/>
      <c r="I251" s="58"/>
      <c r="J251" s="58"/>
      <c r="K251" s="58"/>
      <c r="L251" s="57">
        <f t="shared" si="20"/>
        <v>110.27966101694916</v>
      </c>
    </row>
    <row r="252" spans="1:12" s="69" customFormat="1" ht="12.75" customHeight="1" x14ac:dyDescent="0.3">
      <c r="A252" s="78"/>
      <c r="B252" s="24" t="s">
        <v>79</v>
      </c>
      <c r="C252" s="79" t="s">
        <v>9</v>
      </c>
      <c r="D252" s="79">
        <v>1.6</v>
      </c>
      <c r="E252" s="58">
        <f>D252*E245</f>
        <v>457.6</v>
      </c>
      <c r="F252" s="58">
        <f>9.5/100/1.18</f>
        <v>8.0508474576271194E-2</v>
      </c>
      <c r="G252" s="56">
        <f t="shared" si="21"/>
        <v>36.840677966101701</v>
      </c>
      <c r="H252" s="58"/>
      <c r="I252" s="58"/>
      <c r="J252" s="58"/>
      <c r="K252" s="58"/>
      <c r="L252" s="57">
        <f t="shared" si="20"/>
        <v>36.840677966101701</v>
      </c>
    </row>
    <row r="253" spans="1:12" s="69" customFormat="1" ht="12.75" customHeight="1" x14ac:dyDescent="0.3">
      <c r="A253" s="78"/>
      <c r="B253" s="24" t="s">
        <v>80</v>
      </c>
      <c r="C253" s="79" t="s">
        <v>9</v>
      </c>
      <c r="D253" s="79">
        <v>1.5</v>
      </c>
      <c r="E253" s="58">
        <f>D253*E245</f>
        <v>429</v>
      </c>
      <c r="F253" s="58">
        <f>37/1000/1.18</f>
        <v>3.1355932203389829E-2</v>
      </c>
      <c r="G253" s="56">
        <f t="shared" si="21"/>
        <v>13.451694915254237</v>
      </c>
      <c r="H253" s="58"/>
      <c r="I253" s="58"/>
      <c r="J253" s="58"/>
      <c r="K253" s="58"/>
      <c r="L253" s="57">
        <f t="shared" si="20"/>
        <v>13.451694915254237</v>
      </c>
    </row>
    <row r="254" spans="1:12" s="69" customFormat="1" ht="12.75" customHeight="1" x14ac:dyDescent="0.3">
      <c r="A254" s="78"/>
      <c r="B254" s="24" t="s">
        <v>81</v>
      </c>
      <c r="C254" s="79" t="s">
        <v>9</v>
      </c>
      <c r="D254" s="79">
        <v>7</v>
      </c>
      <c r="E254" s="58">
        <f>D254*E245</f>
        <v>2002</v>
      </c>
      <c r="F254" s="58">
        <f>32/1000/1.18</f>
        <v>2.7118644067796613E-2</v>
      </c>
      <c r="G254" s="56">
        <f t="shared" si="21"/>
        <v>54.291525423728821</v>
      </c>
      <c r="H254" s="58"/>
      <c r="I254" s="58"/>
      <c r="J254" s="58"/>
      <c r="K254" s="58"/>
      <c r="L254" s="57">
        <f t="shared" si="20"/>
        <v>54.291525423728821</v>
      </c>
    </row>
    <row r="255" spans="1:12" s="69" customFormat="1" ht="12.75" customHeight="1" x14ac:dyDescent="0.3">
      <c r="A255" s="78"/>
      <c r="B255" s="24" t="s">
        <v>82</v>
      </c>
      <c r="C255" s="79" t="s">
        <v>9</v>
      </c>
      <c r="D255" s="79">
        <v>15</v>
      </c>
      <c r="E255" s="58">
        <f>D255*E245</f>
        <v>4290</v>
      </c>
      <c r="F255" s="58">
        <f>37/1000/1.18</f>
        <v>3.1355932203389829E-2</v>
      </c>
      <c r="G255" s="56">
        <f t="shared" si="21"/>
        <v>134.51694915254237</v>
      </c>
      <c r="H255" s="58"/>
      <c r="I255" s="58"/>
      <c r="J255" s="58"/>
      <c r="K255" s="58"/>
      <c r="L255" s="57">
        <f t="shared" si="20"/>
        <v>134.51694915254237</v>
      </c>
    </row>
    <row r="256" spans="1:12" s="69" customFormat="1" ht="12.75" customHeight="1" x14ac:dyDescent="0.3">
      <c r="A256" s="78"/>
      <c r="B256" s="24" t="s">
        <v>83</v>
      </c>
      <c r="C256" s="79" t="s">
        <v>7</v>
      </c>
      <c r="D256" s="79">
        <v>0.5</v>
      </c>
      <c r="E256" s="58">
        <f>D256*E245</f>
        <v>143</v>
      </c>
      <c r="F256" s="58">
        <f>23/30/1.18</f>
        <v>0.6497175141242939</v>
      </c>
      <c r="G256" s="56">
        <f t="shared" si="21"/>
        <v>92.909604519774035</v>
      </c>
      <c r="H256" s="58"/>
      <c r="I256" s="58"/>
      <c r="J256" s="58"/>
      <c r="K256" s="58"/>
      <c r="L256" s="57">
        <f t="shared" si="20"/>
        <v>92.909604519774035</v>
      </c>
    </row>
    <row r="257" spans="1:12" s="69" customFormat="1" ht="12.75" customHeight="1" x14ac:dyDescent="0.3">
      <c r="A257" s="78"/>
      <c r="B257" s="24" t="s">
        <v>86</v>
      </c>
      <c r="C257" s="79" t="s">
        <v>33</v>
      </c>
      <c r="D257" s="79">
        <v>1.05</v>
      </c>
      <c r="E257" s="58">
        <f>D257*E245</f>
        <v>300.3</v>
      </c>
      <c r="F257" s="58">
        <f>16/1.18</f>
        <v>13.559322033898306</v>
      </c>
      <c r="G257" s="56">
        <f t="shared" si="21"/>
        <v>4071.8644067796617</v>
      </c>
      <c r="H257" s="58"/>
      <c r="I257" s="58"/>
      <c r="J257" s="58"/>
      <c r="K257" s="58"/>
      <c r="L257" s="57">
        <f t="shared" si="20"/>
        <v>4071.8644067796617</v>
      </c>
    </row>
    <row r="258" spans="1:12" s="69" customFormat="1" ht="12.75" customHeight="1" x14ac:dyDescent="0.3">
      <c r="A258" s="78"/>
      <c r="B258" s="24" t="s">
        <v>84</v>
      </c>
      <c r="C258" s="79" t="s">
        <v>7</v>
      </c>
      <c r="D258" s="79">
        <v>0.2</v>
      </c>
      <c r="E258" s="58">
        <f>D258*E245</f>
        <v>57.2</v>
      </c>
      <c r="F258" s="58">
        <f>3.9/3/1.18</f>
        <v>1.1016949152542375</v>
      </c>
      <c r="G258" s="56">
        <f t="shared" si="21"/>
        <v>63.016949152542388</v>
      </c>
      <c r="H258" s="58"/>
      <c r="I258" s="58"/>
      <c r="J258" s="58"/>
      <c r="K258" s="58"/>
      <c r="L258" s="57">
        <f t="shared" si="20"/>
        <v>63.016949152542388</v>
      </c>
    </row>
    <row r="259" spans="1:12" s="69" customFormat="1" ht="45" customHeight="1" x14ac:dyDescent="0.3">
      <c r="A259" s="68">
        <v>12</v>
      </c>
      <c r="B259" s="74" t="s">
        <v>209</v>
      </c>
      <c r="C259" s="75" t="s">
        <v>33</v>
      </c>
      <c r="D259" s="75"/>
      <c r="E259" s="76">
        <f>E189+E183</f>
        <v>1204</v>
      </c>
      <c r="F259" s="76"/>
      <c r="G259" s="76"/>
      <c r="H259" s="76"/>
      <c r="I259" s="76"/>
      <c r="J259" s="76"/>
      <c r="K259" s="76"/>
      <c r="L259" s="77"/>
    </row>
    <row r="260" spans="1:12" s="69" customFormat="1" ht="12.75" customHeight="1" x14ac:dyDescent="0.3">
      <c r="A260" s="78"/>
      <c r="B260" s="24" t="s">
        <v>8</v>
      </c>
      <c r="C260" s="79" t="s">
        <v>33</v>
      </c>
      <c r="D260" s="79">
        <v>1</v>
      </c>
      <c r="E260" s="58">
        <f>E259*D260</f>
        <v>1204</v>
      </c>
      <c r="F260" s="58"/>
      <c r="G260" s="56"/>
      <c r="H260" s="58">
        <f>25*1.27</f>
        <v>31.75</v>
      </c>
      <c r="I260" s="58">
        <f>E260*H260</f>
        <v>38227</v>
      </c>
      <c r="J260" s="58"/>
      <c r="K260" s="58"/>
      <c r="L260" s="57">
        <f t="shared" ref="L260:L262" si="22">G260+I260+K260</f>
        <v>38227</v>
      </c>
    </row>
    <row r="261" spans="1:12" s="69" customFormat="1" ht="12.75" customHeight="1" x14ac:dyDescent="0.3">
      <c r="A261" s="78"/>
      <c r="B261" s="24" t="s">
        <v>12</v>
      </c>
      <c r="C261" s="79"/>
      <c r="D261" s="79"/>
      <c r="E261" s="58"/>
      <c r="F261" s="58"/>
      <c r="G261" s="56"/>
      <c r="H261" s="58"/>
      <c r="I261" s="58"/>
      <c r="J261" s="58"/>
      <c r="K261" s="58"/>
      <c r="L261" s="57">
        <f t="shared" si="22"/>
        <v>0</v>
      </c>
    </row>
    <row r="262" spans="1:12" s="69" customFormat="1" ht="12.75" customHeight="1" x14ac:dyDescent="0.3">
      <c r="A262" s="78"/>
      <c r="B262" s="24" t="s">
        <v>210</v>
      </c>
      <c r="C262" s="79" t="s">
        <v>33</v>
      </c>
      <c r="D262" s="79">
        <v>1.05</v>
      </c>
      <c r="E262" s="58">
        <f>D262*E259</f>
        <v>1264.2</v>
      </c>
      <c r="F262" s="58">
        <v>150</v>
      </c>
      <c r="G262" s="56">
        <f t="shared" ref="G262" si="23">F262*E262</f>
        <v>189630</v>
      </c>
      <c r="H262" s="58"/>
      <c r="I262" s="58"/>
      <c r="J262" s="58"/>
      <c r="K262" s="58"/>
      <c r="L262" s="57">
        <f t="shared" si="22"/>
        <v>189630</v>
      </c>
    </row>
    <row r="263" spans="1:12" s="69" customFormat="1" ht="27.6" customHeight="1" x14ac:dyDescent="0.3">
      <c r="A263" s="68">
        <v>13</v>
      </c>
      <c r="B263" s="74" t="s">
        <v>57</v>
      </c>
      <c r="C263" s="75" t="s">
        <v>33</v>
      </c>
      <c r="D263" s="75"/>
      <c r="E263" s="108">
        <f>(189+135)*7*3.1</f>
        <v>7030.8</v>
      </c>
      <c r="F263" s="56"/>
      <c r="G263" s="76"/>
      <c r="H263" s="76"/>
      <c r="I263" s="76"/>
      <c r="J263" s="76"/>
      <c r="K263" s="76"/>
      <c r="L263" s="77"/>
    </row>
    <row r="264" spans="1:12" s="69" customFormat="1" ht="15" customHeight="1" x14ac:dyDescent="0.3">
      <c r="A264" s="78"/>
      <c r="B264" s="24" t="s">
        <v>8</v>
      </c>
      <c r="C264" s="79" t="s">
        <v>51</v>
      </c>
      <c r="D264" s="58">
        <v>1</v>
      </c>
      <c r="E264" s="91">
        <f>E263*D264</f>
        <v>7030.8</v>
      </c>
      <c r="F264" s="56"/>
      <c r="G264" s="58"/>
      <c r="H264" s="58">
        <f>8/0.8/0.98</f>
        <v>10.204081632653061</v>
      </c>
      <c r="I264" s="58">
        <f>E264*H264</f>
        <v>71742.857142857145</v>
      </c>
      <c r="J264" s="58"/>
      <c r="K264" s="56"/>
      <c r="L264" s="57">
        <f t="shared" ref="L264:L271" si="24">G264+I264+K264</f>
        <v>71742.857142857145</v>
      </c>
    </row>
    <row r="265" spans="1:12" s="69" customFormat="1" ht="24.75" customHeight="1" x14ac:dyDescent="0.3">
      <c r="A265" s="78"/>
      <c r="B265" s="24" t="s">
        <v>52</v>
      </c>
      <c r="C265" s="79" t="s">
        <v>11</v>
      </c>
      <c r="D265" s="58">
        <f>3/100</f>
        <v>0.03</v>
      </c>
      <c r="E265" s="91">
        <f>D265*E263</f>
        <v>210.92400000000001</v>
      </c>
      <c r="F265" s="56"/>
      <c r="G265" s="58"/>
      <c r="H265" s="58"/>
      <c r="I265" s="58"/>
      <c r="J265" s="58">
        <f>9.2</f>
        <v>9.1999999999999993</v>
      </c>
      <c r="K265" s="56">
        <f>E265*J265</f>
        <v>1940.5007999999998</v>
      </c>
      <c r="L265" s="57">
        <f t="shared" si="24"/>
        <v>1940.5007999999998</v>
      </c>
    </row>
    <row r="266" spans="1:12" s="69" customFormat="1" ht="13.95" customHeight="1" x14ac:dyDescent="0.3">
      <c r="A266" s="78"/>
      <c r="B266" s="24" t="s">
        <v>12</v>
      </c>
      <c r="C266" s="79"/>
      <c r="D266" s="58"/>
      <c r="E266" s="91"/>
      <c r="F266" s="56"/>
      <c r="G266" s="58"/>
      <c r="H266" s="58"/>
      <c r="I266" s="58"/>
      <c r="J266" s="58"/>
      <c r="K266" s="56"/>
      <c r="L266" s="57">
        <f t="shared" si="24"/>
        <v>0</v>
      </c>
    </row>
    <row r="267" spans="1:12" s="69" customFormat="1" ht="13.95" customHeight="1" x14ac:dyDescent="0.3">
      <c r="A267" s="78"/>
      <c r="B267" s="24" t="s">
        <v>29</v>
      </c>
      <c r="C267" s="79" t="s">
        <v>27</v>
      </c>
      <c r="D267" s="58">
        <f>0.582/100</f>
        <v>5.8199999999999997E-3</v>
      </c>
      <c r="E267" s="91">
        <f>D267*E263</f>
        <v>40.919255999999997</v>
      </c>
      <c r="F267" s="56">
        <v>4</v>
      </c>
      <c r="G267" s="56">
        <f>F267*E267</f>
        <v>163.67702399999999</v>
      </c>
      <c r="H267" s="58"/>
      <c r="I267" s="58"/>
      <c r="J267" s="58"/>
      <c r="K267" s="56"/>
      <c r="L267" s="57">
        <f t="shared" si="24"/>
        <v>163.67702399999999</v>
      </c>
    </row>
    <row r="268" spans="1:12" s="69" customFormat="1" ht="13.95" customHeight="1" x14ac:dyDescent="0.3">
      <c r="A268" s="78"/>
      <c r="B268" s="24" t="s">
        <v>53</v>
      </c>
      <c r="C268" s="79" t="s">
        <v>33</v>
      </c>
      <c r="D268" s="58">
        <f>6/100</f>
        <v>0.06</v>
      </c>
      <c r="E268" s="91">
        <f>D268*E263</f>
        <v>421.84800000000001</v>
      </c>
      <c r="F268" s="56">
        <f>2.7/1.18</f>
        <v>2.2881355932203391</v>
      </c>
      <c r="G268" s="56">
        <f>F268*E268</f>
        <v>965.24542372881365</v>
      </c>
      <c r="H268" s="58"/>
      <c r="I268" s="58"/>
      <c r="J268" s="58"/>
      <c r="K268" s="56"/>
      <c r="L268" s="57">
        <f t="shared" si="24"/>
        <v>965.24542372881365</v>
      </c>
    </row>
    <row r="269" spans="1:12" s="69" customFormat="1" ht="13.95" customHeight="1" x14ac:dyDescent="0.3">
      <c r="A269" s="78"/>
      <c r="B269" s="24" t="s">
        <v>54</v>
      </c>
      <c r="C269" s="79" t="s">
        <v>7</v>
      </c>
      <c r="D269" s="58">
        <f>20/100</f>
        <v>0.2</v>
      </c>
      <c r="E269" s="91">
        <f>D269*E263</f>
        <v>1406.16</v>
      </c>
      <c r="F269" s="56">
        <f>2.5/3/1.18</f>
        <v>0.70621468926553677</v>
      </c>
      <c r="G269" s="56">
        <f>F269*E269</f>
        <v>993.05084745762724</v>
      </c>
      <c r="H269" s="58"/>
      <c r="I269" s="58"/>
      <c r="J269" s="58"/>
      <c r="K269" s="56"/>
      <c r="L269" s="57">
        <f t="shared" si="24"/>
        <v>993.05084745762724</v>
      </c>
    </row>
    <row r="270" spans="1:12" s="69" customFormat="1" ht="27.6" customHeight="1" x14ac:dyDescent="0.3">
      <c r="A270" s="78"/>
      <c r="B270" s="24" t="s">
        <v>55</v>
      </c>
      <c r="C270" s="79" t="s">
        <v>13</v>
      </c>
      <c r="D270" s="58">
        <f>10/100</f>
        <v>0.1</v>
      </c>
      <c r="E270" s="91">
        <f>D270*E263</f>
        <v>703.08</v>
      </c>
      <c r="F270" s="56">
        <f>130/20/1.18</f>
        <v>5.5084745762711869</v>
      </c>
      <c r="G270" s="56">
        <f>E270*F270</f>
        <v>3872.8983050847464</v>
      </c>
      <c r="H270" s="58"/>
      <c r="I270" s="58"/>
      <c r="J270" s="58"/>
      <c r="K270" s="56"/>
      <c r="L270" s="57">
        <f t="shared" si="24"/>
        <v>3872.8983050847464</v>
      </c>
    </row>
    <row r="271" spans="1:12" s="69" customFormat="1" ht="27.6" customHeight="1" x14ac:dyDescent="0.3">
      <c r="A271" s="78"/>
      <c r="B271" s="55" t="s">
        <v>56</v>
      </c>
      <c r="C271" s="79" t="s">
        <v>13</v>
      </c>
      <c r="D271" s="58">
        <v>20</v>
      </c>
      <c r="E271" s="91">
        <f>D271*E263</f>
        <v>140616</v>
      </c>
      <c r="F271" s="56">
        <f>12.56/25/1.18</f>
        <v>0.42576271186440684</v>
      </c>
      <c r="G271" s="56">
        <f>E271*F271</f>
        <v>59869.049491525431</v>
      </c>
      <c r="H271" s="58"/>
      <c r="I271" s="58"/>
      <c r="J271" s="58"/>
      <c r="K271" s="56"/>
      <c r="L271" s="57">
        <f t="shared" si="24"/>
        <v>59869.049491525431</v>
      </c>
    </row>
    <row r="272" spans="1:12" s="69" customFormat="1" ht="27.6" customHeight="1" x14ac:dyDescent="0.3">
      <c r="A272" s="68">
        <f>A263+1</f>
        <v>14</v>
      </c>
      <c r="B272" s="74" t="s">
        <v>87</v>
      </c>
      <c r="C272" s="75" t="s">
        <v>33</v>
      </c>
      <c r="D272" s="75"/>
      <c r="E272" s="76">
        <f>(189+123)*3.1*7*2</f>
        <v>13540.800000000001</v>
      </c>
      <c r="F272" s="56"/>
      <c r="G272" s="76"/>
      <c r="H272" s="76"/>
      <c r="I272" s="76"/>
      <c r="J272" s="76"/>
      <c r="K272" s="76"/>
      <c r="L272" s="77"/>
    </row>
    <row r="273" spans="1:12" s="69" customFormat="1" ht="15" customHeight="1" x14ac:dyDescent="0.3">
      <c r="A273" s="78"/>
      <c r="B273" s="24" t="s">
        <v>8</v>
      </c>
      <c r="C273" s="79" t="s">
        <v>51</v>
      </c>
      <c r="D273" s="58">
        <v>1</v>
      </c>
      <c r="E273" s="91">
        <f>E272*D273</f>
        <v>13540.800000000001</v>
      </c>
      <c r="F273" s="56"/>
      <c r="G273" s="58"/>
      <c r="H273" s="58">
        <f>8/0.8/0.98</f>
        <v>10.204081632653061</v>
      </c>
      <c r="I273" s="58">
        <f>E273*H273</f>
        <v>138171.42857142858</v>
      </c>
      <c r="J273" s="58"/>
      <c r="K273" s="56"/>
      <c r="L273" s="57">
        <f t="shared" ref="L273:L280" si="25">G273+I273+K273</f>
        <v>138171.42857142858</v>
      </c>
    </row>
    <row r="274" spans="1:12" s="69" customFormat="1" ht="13.95" customHeight="1" x14ac:dyDescent="0.3">
      <c r="A274" s="78"/>
      <c r="B274" s="24" t="s">
        <v>52</v>
      </c>
      <c r="C274" s="79" t="s">
        <v>11</v>
      </c>
      <c r="D274" s="58">
        <f>3/100</f>
        <v>0.03</v>
      </c>
      <c r="E274" s="91">
        <f>D274*E272</f>
        <v>406.22399999999999</v>
      </c>
      <c r="F274" s="56"/>
      <c r="G274" s="58"/>
      <c r="H274" s="58"/>
      <c r="I274" s="58"/>
      <c r="J274" s="58">
        <f>9.2</f>
        <v>9.1999999999999993</v>
      </c>
      <c r="K274" s="56">
        <f>E274*J274</f>
        <v>3737.2607999999996</v>
      </c>
      <c r="L274" s="57">
        <f t="shared" si="25"/>
        <v>3737.2607999999996</v>
      </c>
    </row>
    <row r="275" spans="1:12" s="69" customFormat="1" ht="13.95" customHeight="1" x14ac:dyDescent="0.3">
      <c r="A275" s="78"/>
      <c r="B275" s="24" t="s">
        <v>12</v>
      </c>
      <c r="C275" s="79"/>
      <c r="D275" s="58"/>
      <c r="E275" s="91"/>
      <c r="F275" s="56"/>
      <c r="G275" s="58"/>
      <c r="H275" s="58"/>
      <c r="I275" s="58"/>
      <c r="J275" s="58"/>
      <c r="K275" s="56"/>
      <c r="L275" s="57">
        <f t="shared" si="25"/>
        <v>0</v>
      </c>
    </row>
    <row r="276" spans="1:12" s="69" customFormat="1" ht="13.95" customHeight="1" x14ac:dyDescent="0.3">
      <c r="A276" s="78"/>
      <c r="B276" s="24" t="s">
        <v>29</v>
      </c>
      <c r="C276" s="79" t="s">
        <v>27</v>
      </c>
      <c r="D276" s="58">
        <f>0.582/100</f>
        <v>5.8199999999999997E-3</v>
      </c>
      <c r="E276" s="91">
        <f>D276*E272</f>
        <v>78.807456000000002</v>
      </c>
      <c r="F276" s="56">
        <v>4</v>
      </c>
      <c r="G276" s="56">
        <f>F276*E276</f>
        <v>315.22982400000001</v>
      </c>
      <c r="H276" s="58"/>
      <c r="I276" s="58"/>
      <c r="J276" s="58"/>
      <c r="K276" s="56"/>
      <c r="L276" s="57">
        <f t="shared" si="25"/>
        <v>315.22982400000001</v>
      </c>
    </row>
    <row r="277" spans="1:12" s="69" customFormat="1" ht="13.95" customHeight="1" x14ac:dyDescent="0.3">
      <c r="A277" s="78"/>
      <c r="B277" s="24" t="s">
        <v>53</v>
      </c>
      <c r="C277" s="79" t="s">
        <v>33</v>
      </c>
      <c r="D277" s="58">
        <f>6/100</f>
        <v>0.06</v>
      </c>
      <c r="E277" s="91">
        <f>D277*E272</f>
        <v>812.44799999999998</v>
      </c>
      <c r="F277" s="56">
        <f>2.7/1.18</f>
        <v>2.2881355932203391</v>
      </c>
      <c r="G277" s="56">
        <f>F277*E277</f>
        <v>1858.9911864406781</v>
      </c>
      <c r="H277" s="58"/>
      <c r="I277" s="58"/>
      <c r="J277" s="58"/>
      <c r="K277" s="56"/>
      <c r="L277" s="57">
        <f t="shared" si="25"/>
        <v>1858.9911864406781</v>
      </c>
    </row>
    <row r="278" spans="1:12" s="69" customFormat="1" ht="13.95" customHeight="1" x14ac:dyDescent="0.3">
      <c r="A278" s="78"/>
      <c r="B278" s="24" t="s">
        <v>54</v>
      </c>
      <c r="C278" s="79" t="s">
        <v>7</v>
      </c>
      <c r="D278" s="58">
        <f>20/100</f>
        <v>0.2</v>
      </c>
      <c r="E278" s="91">
        <f>D278*E272</f>
        <v>2708.1600000000003</v>
      </c>
      <c r="F278" s="56">
        <f>2.5/3/1.18</f>
        <v>0.70621468926553677</v>
      </c>
      <c r="G278" s="56">
        <f>F278*E278</f>
        <v>1912.5423728813562</v>
      </c>
      <c r="H278" s="58"/>
      <c r="I278" s="58"/>
      <c r="J278" s="58"/>
      <c r="K278" s="56"/>
      <c r="L278" s="57">
        <f t="shared" si="25"/>
        <v>1912.5423728813562</v>
      </c>
    </row>
    <row r="279" spans="1:12" s="69" customFormat="1" ht="27.6" customHeight="1" x14ac:dyDescent="0.3">
      <c r="A279" s="78"/>
      <c r="B279" s="24" t="s">
        <v>55</v>
      </c>
      <c r="C279" s="79" t="s">
        <v>13</v>
      </c>
      <c r="D279" s="58">
        <f>10/100</f>
        <v>0.1</v>
      </c>
      <c r="E279" s="91">
        <f>D279*E272</f>
        <v>1354.0800000000002</v>
      </c>
      <c r="F279" s="56">
        <f>130/20/1.18</f>
        <v>5.5084745762711869</v>
      </c>
      <c r="G279" s="56">
        <f>E279*F279</f>
        <v>7458.9152542372894</v>
      </c>
      <c r="H279" s="58"/>
      <c r="I279" s="58"/>
      <c r="J279" s="58"/>
      <c r="K279" s="56"/>
      <c r="L279" s="57">
        <f t="shared" si="25"/>
        <v>7458.9152542372894</v>
      </c>
    </row>
    <row r="280" spans="1:12" s="69" customFormat="1" ht="27.6" customHeight="1" x14ac:dyDescent="0.3">
      <c r="A280" s="78"/>
      <c r="B280" s="55" t="s">
        <v>56</v>
      </c>
      <c r="C280" s="79" t="s">
        <v>13</v>
      </c>
      <c r="D280" s="58">
        <v>20</v>
      </c>
      <c r="E280" s="91">
        <f>D280*E272</f>
        <v>270816</v>
      </c>
      <c r="F280" s="56">
        <f>12.56/25/1.18</f>
        <v>0.42576271186440684</v>
      </c>
      <c r="G280" s="56">
        <f>E280*F280</f>
        <v>115303.3545762712</v>
      </c>
      <c r="H280" s="58"/>
      <c r="I280" s="58"/>
      <c r="J280" s="58"/>
      <c r="K280" s="56"/>
      <c r="L280" s="57">
        <f t="shared" si="25"/>
        <v>115303.3545762712</v>
      </c>
    </row>
    <row r="281" spans="1:12" s="69" customFormat="1" ht="34.5" customHeight="1" x14ac:dyDescent="0.3">
      <c r="A281" s="80">
        <f>A272+1</f>
        <v>15</v>
      </c>
      <c r="B281" s="17" t="s">
        <v>151</v>
      </c>
      <c r="C281" s="75" t="s">
        <v>33</v>
      </c>
      <c r="D281" s="75"/>
      <c r="E281" s="81">
        <f>((141+121+24)*3.1-2.3*1*20)*7</f>
        <v>5884.2</v>
      </c>
      <c r="F281" s="81"/>
      <c r="G281" s="81"/>
      <c r="H281" s="81"/>
      <c r="I281" s="81"/>
      <c r="J281" s="81"/>
      <c r="K281" s="81"/>
      <c r="L281" s="82"/>
    </row>
    <row r="282" spans="1:12" s="83" customFormat="1" ht="13.95" customHeight="1" x14ac:dyDescent="0.3">
      <c r="A282" s="84"/>
      <c r="B282" s="24" t="s">
        <v>8</v>
      </c>
      <c r="C282" s="79" t="s">
        <v>33</v>
      </c>
      <c r="D282" s="79"/>
      <c r="E282" s="58">
        <f>E281</f>
        <v>5884.2</v>
      </c>
      <c r="F282" s="58"/>
      <c r="G282" s="58"/>
      <c r="H282" s="58">
        <f>25/0.8/0.98</f>
        <v>31.887755102040817</v>
      </c>
      <c r="I282" s="58">
        <f>H282*E282</f>
        <v>187633.92857142858</v>
      </c>
      <c r="J282" s="58"/>
      <c r="K282" s="58"/>
      <c r="L282" s="57">
        <f t="shared" ref="L282:L289" si="26">K282+I282+G282</f>
        <v>187633.92857142858</v>
      </c>
    </row>
    <row r="283" spans="1:12" s="83" customFormat="1" ht="13.95" customHeight="1" x14ac:dyDescent="0.3">
      <c r="A283" s="84"/>
      <c r="B283" s="24" t="s">
        <v>12</v>
      </c>
      <c r="C283" s="79"/>
      <c r="D283" s="79"/>
      <c r="E283" s="58"/>
      <c r="F283" s="58"/>
      <c r="G283" s="58"/>
      <c r="H283" s="58"/>
      <c r="I283" s="58"/>
      <c r="J283" s="58"/>
      <c r="K283" s="58"/>
      <c r="L283" s="57">
        <f t="shared" si="26"/>
        <v>0</v>
      </c>
    </row>
    <row r="284" spans="1:12" s="85" customFormat="1" ht="14.4" customHeight="1" x14ac:dyDescent="0.3">
      <c r="A284" s="84"/>
      <c r="B284" s="24" t="s">
        <v>42</v>
      </c>
      <c r="C284" s="79" t="s">
        <v>43</v>
      </c>
      <c r="D284" s="79">
        <v>0.15</v>
      </c>
      <c r="E284" s="58">
        <f>E281*0.15</f>
        <v>882.63</v>
      </c>
      <c r="F284" s="58">
        <v>4.3855932203389827</v>
      </c>
      <c r="G284" s="58">
        <f t="shared" ref="G284:G289" si="27">F284*E284</f>
        <v>3870.8561440677963</v>
      </c>
      <c r="H284" s="58"/>
      <c r="I284" s="58"/>
      <c r="J284" s="58"/>
      <c r="K284" s="58"/>
      <c r="L284" s="57">
        <f t="shared" si="26"/>
        <v>3870.8561440677963</v>
      </c>
    </row>
    <row r="285" spans="1:12" s="85" customFormat="1" ht="14.4" customHeight="1" x14ac:dyDescent="0.3">
      <c r="A285" s="84"/>
      <c r="B285" s="24" t="s">
        <v>44</v>
      </c>
      <c r="C285" s="79" t="s">
        <v>13</v>
      </c>
      <c r="D285" s="79">
        <v>7.5</v>
      </c>
      <c r="E285" s="58">
        <f>E281*7.5</f>
        <v>44131.5</v>
      </c>
      <c r="F285" s="58">
        <v>0.77966101694915257</v>
      </c>
      <c r="G285" s="58">
        <f t="shared" si="27"/>
        <v>34407.610169491527</v>
      </c>
      <c r="H285" s="58"/>
      <c r="I285" s="58"/>
      <c r="J285" s="58"/>
      <c r="K285" s="58"/>
      <c r="L285" s="57">
        <f t="shared" si="26"/>
        <v>34407.610169491527</v>
      </c>
    </row>
    <row r="286" spans="1:12" s="85" customFormat="1" ht="14.4" customHeight="1" x14ac:dyDescent="0.3">
      <c r="A286" s="84"/>
      <c r="B286" s="24" t="s">
        <v>45</v>
      </c>
      <c r="C286" s="79" t="s">
        <v>28</v>
      </c>
      <c r="D286" s="79">
        <v>0.3</v>
      </c>
      <c r="E286" s="58">
        <f>E281*0.3</f>
        <v>1765.26</v>
      </c>
      <c r="F286" s="58">
        <v>5.8419999999999996</v>
      </c>
      <c r="G286" s="58">
        <f t="shared" si="27"/>
        <v>10312.64892</v>
      </c>
      <c r="H286" s="58"/>
      <c r="I286" s="58"/>
      <c r="J286" s="58"/>
      <c r="K286" s="58"/>
      <c r="L286" s="57">
        <f t="shared" si="26"/>
        <v>10312.64892</v>
      </c>
    </row>
    <row r="287" spans="1:12" s="85" customFormat="1" ht="14.4" customHeight="1" x14ac:dyDescent="0.3">
      <c r="A287" s="84"/>
      <c r="B287" s="24" t="s">
        <v>46</v>
      </c>
      <c r="C287" s="79" t="s">
        <v>30</v>
      </c>
      <c r="D287" s="79">
        <v>1.1000000000000001</v>
      </c>
      <c r="E287" s="58">
        <f>E281*1.1</f>
        <v>6472.62</v>
      </c>
      <c r="F287" s="58">
        <v>0.81355932203389836</v>
      </c>
      <c r="G287" s="56">
        <f t="shared" si="27"/>
        <v>5265.8603389830514</v>
      </c>
      <c r="H287" s="58"/>
      <c r="I287" s="58"/>
      <c r="J287" s="58"/>
      <c r="K287" s="58"/>
      <c r="L287" s="57">
        <f t="shared" si="26"/>
        <v>5265.8603389830514</v>
      </c>
    </row>
    <row r="288" spans="1:12" s="85" customFormat="1" ht="14.4" customHeight="1" x14ac:dyDescent="0.3">
      <c r="A288" s="84"/>
      <c r="B288" s="24" t="s">
        <v>47</v>
      </c>
      <c r="C288" s="79" t="s">
        <v>13</v>
      </c>
      <c r="D288" s="79">
        <v>0.25</v>
      </c>
      <c r="E288" s="58">
        <f>E281*0.25</f>
        <v>1471.05</v>
      </c>
      <c r="F288" s="58">
        <v>5.360169491525423</v>
      </c>
      <c r="G288" s="58">
        <f t="shared" si="27"/>
        <v>7885.0773305084731</v>
      </c>
      <c r="H288" s="58"/>
      <c r="I288" s="58"/>
      <c r="J288" s="58"/>
      <c r="K288" s="58"/>
      <c r="L288" s="57">
        <f t="shared" si="26"/>
        <v>7885.0773305084731</v>
      </c>
    </row>
    <row r="289" spans="1:19" s="85" customFormat="1" ht="14.4" customHeight="1" x14ac:dyDescent="0.3">
      <c r="A289" s="84"/>
      <c r="B289" s="24" t="s">
        <v>48</v>
      </c>
      <c r="C289" s="79" t="s">
        <v>13</v>
      </c>
      <c r="D289" s="79">
        <v>4</v>
      </c>
      <c r="E289" s="58">
        <f>E281*4</f>
        <v>23536.799999999999</v>
      </c>
      <c r="F289" s="58">
        <v>1.1694915254237286</v>
      </c>
      <c r="G289" s="58">
        <f t="shared" si="27"/>
        <v>27526.088135593214</v>
      </c>
      <c r="H289" s="58"/>
      <c r="I289" s="58"/>
      <c r="J289" s="58"/>
      <c r="K289" s="58"/>
      <c r="L289" s="57">
        <f t="shared" si="26"/>
        <v>27526.088135593214</v>
      </c>
    </row>
    <row r="290" spans="1:19" s="86" customFormat="1" ht="13.95" customHeight="1" x14ac:dyDescent="0.25">
      <c r="A290" s="84"/>
      <c r="B290" s="24" t="s">
        <v>49</v>
      </c>
      <c r="C290" s="79" t="s">
        <v>13</v>
      </c>
      <c r="D290" s="79">
        <v>0.45</v>
      </c>
      <c r="E290" s="58">
        <f>E281*D290</f>
        <v>2647.89</v>
      </c>
      <c r="F290" s="58">
        <v>10.72</v>
      </c>
      <c r="G290" s="58">
        <f>E290*F290</f>
        <v>28385.380799999999</v>
      </c>
      <c r="H290" s="58"/>
      <c r="I290" s="58"/>
      <c r="J290" s="58"/>
      <c r="K290" s="58"/>
      <c r="L290" s="57">
        <f>G290+I290+K290</f>
        <v>28385.380799999999</v>
      </c>
      <c r="M290" s="87"/>
      <c r="N290" s="87"/>
      <c r="O290" s="87"/>
      <c r="P290" s="87"/>
      <c r="Q290" s="87"/>
      <c r="R290" s="87"/>
      <c r="S290" s="87"/>
    </row>
    <row r="291" spans="1:19" s="86" customFormat="1" ht="13.95" customHeight="1" x14ac:dyDescent="0.25">
      <c r="A291" s="84"/>
      <c r="B291" s="24" t="s">
        <v>14</v>
      </c>
      <c r="C291" s="79" t="s">
        <v>15</v>
      </c>
      <c r="D291" s="79">
        <v>1.2999999999999999E-3</v>
      </c>
      <c r="E291" s="58">
        <f>E289*D291</f>
        <v>30.597839999999998</v>
      </c>
      <c r="F291" s="58">
        <v>3.2</v>
      </c>
      <c r="G291" s="56">
        <f>E291*F291</f>
        <v>97.913088000000002</v>
      </c>
      <c r="H291" s="58"/>
      <c r="I291" s="58"/>
      <c r="J291" s="58"/>
      <c r="K291" s="58"/>
      <c r="L291" s="57">
        <f>G291+I291+K291</f>
        <v>97.913088000000002</v>
      </c>
      <c r="M291" s="87"/>
      <c r="N291" s="87"/>
      <c r="O291" s="87"/>
      <c r="P291" s="87"/>
      <c r="Q291" s="87"/>
      <c r="R291" s="87"/>
      <c r="S291" s="87"/>
    </row>
    <row r="292" spans="1:19" s="69" customFormat="1" ht="13.95" customHeight="1" x14ac:dyDescent="0.3">
      <c r="A292" s="68">
        <f>A281+1</f>
        <v>16</v>
      </c>
      <c r="B292" s="74" t="s">
        <v>88</v>
      </c>
      <c r="C292" s="75" t="s">
        <v>33</v>
      </c>
      <c r="D292" s="75"/>
      <c r="E292" s="76">
        <f>11*1.1*7</f>
        <v>84.700000000000017</v>
      </c>
      <c r="F292" s="56"/>
      <c r="G292" s="76"/>
      <c r="H292" s="76"/>
      <c r="I292" s="76"/>
      <c r="J292" s="76"/>
      <c r="K292" s="76"/>
      <c r="L292" s="77"/>
    </row>
    <row r="293" spans="1:19" s="69" customFormat="1" ht="13.95" customHeight="1" x14ac:dyDescent="0.3">
      <c r="A293" s="78"/>
      <c r="B293" s="24" t="s">
        <v>8</v>
      </c>
      <c r="C293" s="79" t="s">
        <v>33</v>
      </c>
      <c r="D293" s="79">
        <v>1</v>
      </c>
      <c r="E293" s="58">
        <f>E292*D293</f>
        <v>84.700000000000017</v>
      </c>
      <c r="F293" s="56"/>
      <c r="G293" s="56"/>
      <c r="H293" s="58">
        <f>30/0.8/0.98</f>
        <v>38.265306122448983</v>
      </c>
      <c r="I293" s="58">
        <f>H293*E293</f>
        <v>3241.0714285714294</v>
      </c>
      <c r="J293" s="58"/>
      <c r="K293" s="58"/>
      <c r="L293" s="57">
        <f>K293+I293+G293</f>
        <v>3241.0714285714294</v>
      </c>
    </row>
    <row r="294" spans="1:19" s="69" customFormat="1" ht="13.95" customHeight="1" x14ac:dyDescent="0.3">
      <c r="A294" s="78"/>
      <c r="B294" s="24" t="s">
        <v>12</v>
      </c>
      <c r="C294" s="79"/>
      <c r="D294" s="79"/>
      <c r="E294" s="58"/>
      <c r="F294" s="56"/>
      <c r="G294" s="56"/>
      <c r="H294" s="58"/>
      <c r="I294" s="58"/>
      <c r="J294" s="58"/>
      <c r="K294" s="58"/>
      <c r="L294" s="57">
        <f>K294+I294+G294</f>
        <v>0</v>
      </c>
    </row>
    <row r="295" spans="1:19" s="69" customFormat="1" ht="13.95" customHeight="1" x14ac:dyDescent="0.3">
      <c r="A295" s="78"/>
      <c r="B295" s="24" t="s">
        <v>89</v>
      </c>
      <c r="C295" s="79" t="s">
        <v>33</v>
      </c>
      <c r="D295" s="79">
        <v>1</v>
      </c>
      <c r="E295" s="58">
        <f>D295*E292</f>
        <v>84.700000000000017</v>
      </c>
      <c r="F295" s="56">
        <f>150/1.18</f>
        <v>127.11864406779662</v>
      </c>
      <c r="G295" s="56">
        <f>F295*E295</f>
        <v>10766.949152542376</v>
      </c>
      <c r="H295" s="58"/>
      <c r="I295" s="58"/>
      <c r="J295" s="58"/>
      <c r="K295" s="58"/>
      <c r="L295" s="57">
        <f>K295+I295+G295</f>
        <v>10766.949152542376</v>
      </c>
    </row>
    <row r="296" spans="1:19" s="69" customFormat="1" ht="13.95" customHeight="1" x14ac:dyDescent="0.3">
      <c r="A296" s="68">
        <f>A292+1</f>
        <v>17</v>
      </c>
      <c r="B296" s="74" t="s">
        <v>90</v>
      </c>
      <c r="C296" s="75" t="s">
        <v>33</v>
      </c>
      <c r="D296" s="75"/>
      <c r="E296" s="76">
        <f>14*7</f>
        <v>98</v>
      </c>
      <c r="F296" s="56"/>
      <c r="G296" s="76"/>
      <c r="H296" s="76"/>
      <c r="I296" s="76"/>
      <c r="J296" s="76"/>
      <c r="K296" s="76"/>
      <c r="L296" s="77"/>
    </row>
    <row r="297" spans="1:19" s="69" customFormat="1" ht="13.95" customHeight="1" x14ac:dyDescent="0.3">
      <c r="A297" s="78"/>
      <c r="B297" s="24" t="s">
        <v>8</v>
      </c>
      <c r="C297" s="79" t="s">
        <v>33</v>
      </c>
      <c r="D297" s="79">
        <v>1</v>
      </c>
      <c r="E297" s="58">
        <f>E296*D297</f>
        <v>98</v>
      </c>
      <c r="F297" s="56"/>
      <c r="G297" s="56"/>
      <c r="H297" s="58">
        <f>40/1.18</f>
        <v>33.898305084745765</v>
      </c>
      <c r="I297" s="58">
        <f>H297*E297</f>
        <v>3322.0338983050851</v>
      </c>
      <c r="J297" s="58"/>
      <c r="K297" s="58"/>
      <c r="L297" s="57">
        <f>K297+I297+G297</f>
        <v>3322.0338983050851</v>
      </c>
    </row>
    <row r="298" spans="1:19" s="69" customFormat="1" ht="13.95" customHeight="1" x14ac:dyDescent="0.3">
      <c r="A298" s="78"/>
      <c r="B298" s="24" t="s">
        <v>12</v>
      </c>
      <c r="C298" s="79"/>
      <c r="D298" s="79"/>
      <c r="E298" s="58"/>
      <c r="F298" s="56"/>
      <c r="G298" s="56"/>
      <c r="H298" s="58"/>
      <c r="I298" s="58"/>
      <c r="J298" s="58"/>
      <c r="K298" s="58"/>
      <c r="L298" s="57">
        <f>K298+I298+G298</f>
        <v>0</v>
      </c>
    </row>
    <row r="299" spans="1:19" s="69" customFormat="1" ht="13.95" customHeight="1" x14ac:dyDescent="0.3">
      <c r="A299" s="78"/>
      <c r="B299" s="24" t="s">
        <v>91</v>
      </c>
      <c r="C299" s="79" t="s">
        <v>33</v>
      </c>
      <c r="D299" s="79">
        <v>1</v>
      </c>
      <c r="E299" s="58">
        <f>D299*E296</f>
        <v>98</v>
      </c>
      <c r="F299" s="56">
        <f>90/1.18</f>
        <v>76.271186440677965</v>
      </c>
      <c r="G299" s="56">
        <f>F299*E299</f>
        <v>7474.5762711864409</v>
      </c>
      <c r="H299" s="58"/>
      <c r="I299" s="58"/>
      <c r="J299" s="58"/>
      <c r="K299" s="58"/>
      <c r="L299" s="57">
        <f>K299+I299+G299</f>
        <v>7474.5762711864409</v>
      </c>
    </row>
    <row r="300" spans="1:19" s="69" customFormat="1" ht="27.6" customHeight="1" x14ac:dyDescent="0.3">
      <c r="A300" s="68">
        <v>17</v>
      </c>
      <c r="B300" s="74" t="s">
        <v>92</v>
      </c>
      <c r="C300" s="75" t="s">
        <v>9</v>
      </c>
      <c r="D300" s="75"/>
      <c r="E300" s="76">
        <f>20*7</f>
        <v>140</v>
      </c>
      <c r="F300" s="56"/>
      <c r="G300" s="76"/>
      <c r="H300" s="76"/>
      <c r="I300" s="76"/>
      <c r="J300" s="76"/>
      <c r="K300" s="76"/>
      <c r="L300" s="77"/>
    </row>
    <row r="301" spans="1:19" s="69" customFormat="1" x14ac:dyDescent="0.3">
      <c r="A301" s="78"/>
      <c r="B301" s="24" t="s">
        <v>8</v>
      </c>
      <c r="C301" s="79" t="s">
        <v>9</v>
      </c>
      <c r="D301" s="79">
        <v>1</v>
      </c>
      <c r="E301" s="58">
        <f>E300*D301</f>
        <v>140</v>
      </c>
      <c r="F301" s="56"/>
      <c r="G301" s="56"/>
      <c r="H301" s="58">
        <f>150/0.8/0.98</f>
        <v>191.32653061224491</v>
      </c>
      <c r="I301" s="58">
        <f>H301*E301</f>
        <v>26785.714285714286</v>
      </c>
      <c r="J301" s="58"/>
      <c r="K301" s="58"/>
      <c r="L301" s="57">
        <f>K301+I301+G301</f>
        <v>26785.714285714286</v>
      </c>
    </row>
    <row r="302" spans="1:19" s="69" customFormat="1" ht="13.95" customHeight="1" x14ac:dyDescent="0.3">
      <c r="A302" s="78"/>
      <c r="B302" s="24" t="s">
        <v>12</v>
      </c>
      <c r="C302" s="79"/>
      <c r="D302" s="79"/>
      <c r="E302" s="58"/>
      <c r="F302" s="56"/>
      <c r="G302" s="56"/>
      <c r="H302" s="58"/>
      <c r="I302" s="58"/>
      <c r="J302" s="58"/>
      <c r="K302" s="58"/>
      <c r="L302" s="57">
        <f>K302+I302+G302</f>
        <v>0</v>
      </c>
    </row>
    <row r="303" spans="1:19" s="69" customFormat="1" ht="13.95" customHeight="1" x14ac:dyDescent="0.3">
      <c r="A303" s="78"/>
      <c r="B303" s="24" t="s">
        <v>93</v>
      </c>
      <c r="C303" s="79" t="s">
        <v>9</v>
      </c>
      <c r="D303" s="79">
        <v>1</v>
      </c>
      <c r="E303" s="58">
        <f>D303*E300</f>
        <v>140</v>
      </c>
      <c r="F303" s="56">
        <f>500*2.51/1.18</f>
        <v>1063.5593220338983</v>
      </c>
      <c r="G303" s="56">
        <f>F303*E303</f>
        <v>148898.30508474575</v>
      </c>
      <c r="H303" s="58"/>
      <c r="I303" s="58"/>
      <c r="J303" s="58"/>
      <c r="K303" s="58"/>
      <c r="L303" s="57">
        <f>K303+I303+G303</f>
        <v>148898.30508474575</v>
      </c>
    </row>
    <row r="304" spans="1:19" s="69" customFormat="1" ht="27.6" customHeight="1" x14ac:dyDescent="0.3">
      <c r="A304" s="68">
        <f>A300+1</f>
        <v>18</v>
      </c>
      <c r="B304" s="74" t="s">
        <v>94</v>
      </c>
      <c r="C304" s="75" t="s">
        <v>9</v>
      </c>
      <c r="D304" s="75"/>
      <c r="E304" s="76">
        <v>56</v>
      </c>
      <c r="F304" s="56"/>
      <c r="G304" s="76"/>
      <c r="H304" s="76"/>
      <c r="I304" s="76"/>
      <c r="J304" s="76"/>
      <c r="K304" s="76"/>
      <c r="L304" s="77"/>
    </row>
    <row r="305" spans="1:12" s="69" customFormat="1" x14ac:dyDescent="0.3">
      <c r="A305" s="78"/>
      <c r="B305" s="24" t="s">
        <v>8</v>
      </c>
      <c r="C305" s="79" t="s">
        <v>9</v>
      </c>
      <c r="D305" s="79">
        <v>1</v>
      </c>
      <c r="E305" s="58">
        <f>E304*D305</f>
        <v>56</v>
      </c>
      <c r="F305" s="56"/>
      <c r="G305" s="56"/>
      <c r="H305" s="58">
        <f>150/0.8/0.98</f>
        <v>191.32653061224491</v>
      </c>
      <c r="I305" s="58">
        <f>H305*E305</f>
        <v>10714.285714285716</v>
      </c>
      <c r="J305" s="58"/>
      <c r="K305" s="58"/>
      <c r="L305" s="57">
        <f>K305+I305+G305</f>
        <v>10714.285714285716</v>
      </c>
    </row>
    <row r="306" spans="1:12" s="69" customFormat="1" ht="13.95" customHeight="1" x14ac:dyDescent="0.3">
      <c r="A306" s="78"/>
      <c r="B306" s="24" t="s">
        <v>12</v>
      </c>
      <c r="C306" s="79"/>
      <c r="D306" s="79"/>
      <c r="E306" s="58"/>
      <c r="F306" s="56"/>
      <c r="G306" s="56"/>
      <c r="H306" s="58"/>
      <c r="I306" s="58"/>
      <c r="J306" s="58"/>
      <c r="K306" s="58"/>
      <c r="L306" s="57">
        <f>K306+I306+G306</f>
        <v>0</v>
      </c>
    </row>
    <row r="307" spans="1:12" s="69" customFormat="1" ht="13.95" customHeight="1" x14ac:dyDescent="0.3">
      <c r="A307" s="78"/>
      <c r="B307" s="24" t="s">
        <v>95</v>
      </c>
      <c r="C307" s="79" t="s">
        <v>9</v>
      </c>
      <c r="D307" s="79">
        <v>1</v>
      </c>
      <c r="E307" s="58">
        <f>E304</f>
        <v>56</v>
      </c>
      <c r="F307" s="56">
        <f>F96</f>
        <v>1914.406779661017</v>
      </c>
      <c r="G307" s="56">
        <f>F307*E307</f>
        <v>107206.77966101695</v>
      </c>
      <c r="H307" s="58"/>
      <c r="I307" s="58"/>
      <c r="J307" s="58"/>
      <c r="K307" s="58"/>
      <c r="L307" s="57">
        <f>K307+I307+G307</f>
        <v>107206.77966101695</v>
      </c>
    </row>
    <row r="308" spans="1:12" s="54" customFormat="1" ht="21" customHeight="1" x14ac:dyDescent="0.3">
      <c r="A308" s="49"/>
      <c r="B308" s="71" t="s">
        <v>161</v>
      </c>
      <c r="C308" s="50"/>
      <c r="D308" s="51"/>
      <c r="E308" s="51"/>
      <c r="F308" s="52"/>
      <c r="G308" s="51"/>
      <c r="H308" s="51"/>
      <c r="I308" s="51"/>
      <c r="J308" s="51"/>
      <c r="K308" s="51"/>
      <c r="L308" s="53"/>
    </row>
    <row r="309" spans="1:12" s="69" customFormat="1" ht="27.6" customHeight="1" x14ac:dyDescent="0.3">
      <c r="A309" s="68">
        <v>1</v>
      </c>
      <c r="B309" s="74" t="s">
        <v>69</v>
      </c>
      <c r="C309" s="75" t="s">
        <v>33</v>
      </c>
      <c r="D309" s="75"/>
      <c r="E309" s="100">
        <f>3704.6+291.96</f>
        <v>3996.56</v>
      </c>
      <c r="F309" s="76"/>
      <c r="G309" s="76"/>
      <c r="H309" s="76"/>
      <c r="I309" s="76"/>
      <c r="J309" s="76"/>
      <c r="K309" s="76"/>
      <c r="L309" s="77"/>
    </row>
    <row r="310" spans="1:12" s="69" customFormat="1" ht="13.95" customHeight="1" x14ac:dyDescent="0.3">
      <c r="A310" s="78"/>
      <c r="B310" s="24" t="s">
        <v>8</v>
      </c>
      <c r="C310" s="79" t="s">
        <v>33</v>
      </c>
      <c r="D310" s="79">
        <v>1</v>
      </c>
      <c r="E310" s="58">
        <f>E309*D310</f>
        <v>3996.56</v>
      </c>
      <c r="F310" s="58"/>
      <c r="G310" s="58"/>
      <c r="H310" s="58">
        <f>3/0.8/0.98</f>
        <v>3.8265306122448979</v>
      </c>
      <c r="I310" s="58">
        <f>H310*E310</f>
        <v>15292.959183673469</v>
      </c>
      <c r="J310" s="58"/>
      <c r="K310" s="58"/>
      <c r="L310" s="57">
        <f>K310+I310+G310</f>
        <v>15292.959183673469</v>
      </c>
    </row>
    <row r="311" spans="1:12" s="69" customFormat="1" ht="13.95" customHeight="1" x14ac:dyDescent="0.3">
      <c r="A311" s="78"/>
      <c r="B311" s="24" t="s">
        <v>12</v>
      </c>
      <c r="C311" s="79"/>
      <c r="D311" s="79"/>
      <c r="E311" s="58"/>
      <c r="F311" s="58"/>
      <c r="G311" s="58"/>
      <c r="H311" s="58"/>
      <c r="I311" s="58"/>
      <c r="J311" s="58"/>
      <c r="K311" s="58"/>
      <c r="L311" s="57">
        <f>K311+I311+G311</f>
        <v>0</v>
      </c>
    </row>
    <row r="312" spans="1:12" s="69" customFormat="1" ht="13.95" customHeight="1" x14ac:dyDescent="0.3">
      <c r="A312" s="78"/>
      <c r="B312" s="24" t="s">
        <v>70</v>
      </c>
      <c r="C312" s="79" t="s">
        <v>27</v>
      </c>
      <c r="D312" s="79">
        <f>0.055</f>
        <v>5.5E-2</v>
      </c>
      <c r="E312" s="58">
        <f>D312*E309</f>
        <v>219.8108</v>
      </c>
      <c r="F312" s="56">
        <f>60/1.18</f>
        <v>50.847457627118644</v>
      </c>
      <c r="G312" s="56">
        <f>F312*E312</f>
        <v>11176.820338983051</v>
      </c>
      <c r="H312" s="58"/>
      <c r="I312" s="58"/>
      <c r="J312" s="58"/>
      <c r="K312" s="58"/>
      <c r="L312" s="57">
        <f>K312+I312+G312</f>
        <v>11176.820338983051</v>
      </c>
    </row>
    <row r="313" spans="1:12" s="69" customFormat="1" ht="13.95" customHeight="1" x14ac:dyDescent="0.3">
      <c r="A313" s="68">
        <v>2</v>
      </c>
      <c r="B313" s="74" t="s">
        <v>73</v>
      </c>
      <c r="C313" s="75" t="s">
        <v>33</v>
      </c>
      <c r="D313" s="75"/>
      <c r="E313" s="76">
        <f>75*10</f>
        <v>750</v>
      </c>
      <c r="F313" s="76"/>
      <c r="G313" s="76"/>
      <c r="H313" s="76"/>
      <c r="I313" s="76"/>
      <c r="J313" s="76"/>
      <c r="K313" s="76"/>
      <c r="L313" s="77"/>
    </row>
    <row r="314" spans="1:12" s="69" customFormat="1" ht="13.95" customHeight="1" x14ac:dyDescent="0.3">
      <c r="A314" s="78"/>
      <c r="B314" s="24" t="s">
        <v>8</v>
      </c>
      <c r="C314" s="79" t="s">
        <v>33</v>
      </c>
      <c r="D314" s="79">
        <v>1</v>
      </c>
      <c r="E314" s="58">
        <f>E313*D314</f>
        <v>750</v>
      </c>
      <c r="F314" s="58"/>
      <c r="G314" s="58"/>
      <c r="H314" s="58">
        <f>5/1.18</f>
        <v>4.2372881355932206</v>
      </c>
      <c r="I314" s="58">
        <f>H314*E314</f>
        <v>3177.9661016949153</v>
      </c>
      <c r="J314" s="58"/>
      <c r="K314" s="58"/>
      <c r="L314" s="57">
        <f>K314+I314+G314</f>
        <v>3177.9661016949153</v>
      </c>
    </row>
    <row r="315" spans="1:12" s="69" customFormat="1" ht="13.95" customHeight="1" x14ac:dyDescent="0.3">
      <c r="A315" s="78"/>
      <c r="B315" s="24" t="s">
        <v>10</v>
      </c>
      <c r="C315" s="79" t="s">
        <v>15</v>
      </c>
      <c r="D315" s="79">
        <v>1.7000000000000001E-2</v>
      </c>
      <c r="E315" s="58">
        <f>D315*E313</f>
        <v>12.750000000000002</v>
      </c>
      <c r="F315" s="58"/>
      <c r="G315" s="58"/>
      <c r="H315" s="58"/>
      <c r="I315" s="58"/>
      <c r="J315" s="58">
        <v>4</v>
      </c>
      <c r="K315" s="58">
        <f>J315*E315</f>
        <v>51.000000000000007</v>
      </c>
      <c r="L315" s="57">
        <f>K315+I315+G315</f>
        <v>51.000000000000007</v>
      </c>
    </row>
    <row r="316" spans="1:12" s="69" customFormat="1" ht="13.95" customHeight="1" x14ac:dyDescent="0.3">
      <c r="A316" s="78"/>
      <c r="B316" s="24" t="s">
        <v>12</v>
      </c>
      <c r="C316" s="79"/>
      <c r="D316" s="79"/>
      <c r="E316" s="58"/>
      <c r="F316" s="58"/>
      <c r="G316" s="58"/>
      <c r="H316" s="58"/>
      <c r="I316" s="58"/>
      <c r="J316" s="58"/>
      <c r="K316" s="58"/>
      <c r="L316" s="57">
        <f>K316+I316+G316</f>
        <v>0</v>
      </c>
    </row>
    <row r="317" spans="1:12" s="69" customFormat="1" ht="13.95" customHeight="1" x14ac:dyDescent="0.3">
      <c r="A317" s="78"/>
      <c r="B317" s="24" t="s">
        <v>74</v>
      </c>
      <c r="C317" s="79" t="s">
        <v>33</v>
      </c>
      <c r="D317" s="79">
        <v>1.05</v>
      </c>
      <c r="E317" s="58">
        <f>D317*E313</f>
        <v>787.5</v>
      </c>
      <c r="F317" s="56">
        <f>360/75/1.18</f>
        <v>4.0677966101694913</v>
      </c>
      <c r="G317" s="56">
        <f>F317*E317</f>
        <v>3203.3898305084745</v>
      </c>
      <c r="H317" s="58"/>
      <c r="I317" s="58"/>
      <c r="J317" s="58"/>
      <c r="K317" s="58"/>
      <c r="L317" s="57">
        <f>K317+I317+G317</f>
        <v>3203.3898305084745</v>
      </c>
    </row>
    <row r="318" spans="1:12" s="69" customFormat="1" ht="13.95" customHeight="1" x14ac:dyDescent="0.3">
      <c r="A318" s="78"/>
      <c r="B318" s="24" t="s">
        <v>14</v>
      </c>
      <c r="C318" s="79" t="s">
        <v>15</v>
      </c>
      <c r="D318" s="79">
        <v>0.22</v>
      </c>
      <c r="E318" s="58">
        <f>D318*E313</f>
        <v>165</v>
      </c>
      <c r="F318" s="58">
        <v>4</v>
      </c>
      <c r="G318" s="56">
        <f>F318*E318</f>
        <v>660</v>
      </c>
      <c r="H318" s="58"/>
      <c r="I318" s="58"/>
      <c r="J318" s="58"/>
      <c r="K318" s="58"/>
      <c r="L318" s="57">
        <f>K318+I318+G318</f>
        <v>660</v>
      </c>
    </row>
    <row r="319" spans="1:12" s="69" customFormat="1" ht="27.6" customHeight="1" x14ac:dyDescent="0.3">
      <c r="A319" s="68">
        <v>3</v>
      </c>
      <c r="B319" s="74" t="s">
        <v>41</v>
      </c>
      <c r="C319" s="75" t="s">
        <v>33</v>
      </c>
      <c r="D319" s="75"/>
      <c r="E319" s="76">
        <f>37*11</f>
        <v>407</v>
      </c>
      <c r="F319" s="76"/>
      <c r="G319" s="76"/>
      <c r="H319" s="76"/>
      <c r="I319" s="76"/>
      <c r="J319" s="76"/>
      <c r="K319" s="76"/>
      <c r="L319" s="77"/>
    </row>
    <row r="320" spans="1:12" s="69" customFormat="1" ht="13.95" customHeight="1" x14ac:dyDescent="0.3">
      <c r="A320" s="78"/>
      <c r="B320" s="24" t="s">
        <v>8</v>
      </c>
      <c r="C320" s="79" t="s">
        <v>33</v>
      </c>
      <c r="D320" s="79">
        <v>1</v>
      </c>
      <c r="E320" s="58">
        <f>E319*D320</f>
        <v>407</v>
      </c>
      <c r="F320" s="58"/>
      <c r="G320" s="58"/>
      <c r="H320" s="58">
        <f>12/1.18</f>
        <v>10.16949152542373</v>
      </c>
      <c r="I320" s="58">
        <f>H320*E320</f>
        <v>4138.9830508474579</v>
      </c>
      <c r="J320" s="58"/>
      <c r="K320" s="58"/>
      <c r="L320" s="57">
        <f>K320+I320+G320</f>
        <v>4138.9830508474579</v>
      </c>
    </row>
    <row r="321" spans="1:12" s="69" customFormat="1" ht="13.95" customHeight="1" x14ac:dyDescent="0.3">
      <c r="A321" s="78"/>
      <c r="B321" s="24" t="s">
        <v>10</v>
      </c>
      <c r="C321" s="79" t="s">
        <v>15</v>
      </c>
      <c r="D321" s="79">
        <v>1.7000000000000001E-2</v>
      </c>
      <c r="E321" s="58">
        <f>D321*E319</f>
        <v>6.9190000000000005</v>
      </c>
      <c r="F321" s="58"/>
      <c r="G321" s="58"/>
      <c r="H321" s="58"/>
      <c r="I321" s="58"/>
      <c r="J321" s="58">
        <v>4</v>
      </c>
      <c r="K321" s="58">
        <f>J321*E321</f>
        <v>27.676000000000002</v>
      </c>
      <c r="L321" s="57">
        <f>K321+I321+G321</f>
        <v>27.676000000000002</v>
      </c>
    </row>
    <row r="322" spans="1:12" s="69" customFormat="1" ht="13.95" customHeight="1" x14ac:dyDescent="0.3">
      <c r="A322" s="78"/>
      <c r="B322" s="24" t="s">
        <v>12</v>
      </c>
      <c r="C322" s="79"/>
      <c r="D322" s="79"/>
      <c r="E322" s="58"/>
      <c r="F322" s="58"/>
      <c r="G322" s="58"/>
      <c r="H322" s="58"/>
      <c r="I322" s="58"/>
      <c r="J322" s="58"/>
      <c r="K322" s="58"/>
      <c r="L322" s="57">
        <f>K322+I322+G322</f>
        <v>0</v>
      </c>
    </row>
    <row r="323" spans="1:12" s="69" customFormat="1" ht="13.95" customHeight="1" x14ac:dyDescent="0.3">
      <c r="A323" s="78"/>
      <c r="B323" s="24" t="s">
        <v>35</v>
      </c>
      <c r="C323" s="79" t="s">
        <v>27</v>
      </c>
      <c r="D323" s="79">
        <f>0.055</f>
        <v>5.5E-2</v>
      </c>
      <c r="E323" s="58">
        <f>D323*E319</f>
        <v>22.385000000000002</v>
      </c>
      <c r="F323" s="56">
        <f>150/1.18</f>
        <v>127.11864406779662</v>
      </c>
      <c r="G323" s="56">
        <f>F323*E323</f>
        <v>2845.5508474576277</v>
      </c>
      <c r="H323" s="58"/>
      <c r="I323" s="58"/>
      <c r="J323" s="58"/>
      <c r="K323" s="58"/>
      <c r="L323" s="57">
        <f>K323+I323+G323</f>
        <v>2845.5508474576277</v>
      </c>
    </row>
    <row r="324" spans="1:12" s="69" customFormat="1" ht="13.95" customHeight="1" x14ac:dyDescent="0.3">
      <c r="A324" s="78"/>
      <c r="B324" s="24" t="s">
        <v>14</v>
      </c>
      <c r="C324" s="79" t="s">
        <v>15</v>
      </c>
      <c r="D324" s="79">
        <v>0.11</v>
      </c>
      <c r="E324" s="58">
        <f>D324*E319</f>
        <v>44.77</v>
      </c>
      <c r="F324" s="58">
        <v>4</v>
      </c>
      <c r="G324" s="56">
        <f>F324*E324</f>
        <v>179.08</v>
      </c>
      <c r="H324" s="58"/>
      <c r="I324" s="58"/>
      <c r="J324" s="58"/>
      <c r="K324" s="58"/>
      <c r="L324" s="57">
        <f>K324+I324+G324</f>
        <v>179.08</v>
      </c>
    </row>
    <row r="325" spans="1:12" s="69" customFormat="1" ht="27.6" customHeight="1" x14ac:dyDescent="0.3">
      <c r="A325" s="68">
        <f>A319+1</f>
        <v>4</v>
      </c>
      <c r="B325" s="74" t="s">
        <v>68</v>
      </c>
      <c r="C325" s="75" t="s">
        <v>33</v>
      </c>
      <c r="D325" s="75"/>
      <c r="E325" s="76">
        <f>36*10</f>
        <v>360</v>
      </c>
      <c r="F325" s="76"/>
      <c r="G325" s="76"/>
      <c r="H325" s="76"/>
      <c r="I325" s="76"/>
      <c r="J325" s="76"/>
      <c r="K325" s="76"/>
      <c r="L325" s="77"/>
    </row>
    <row r="326" spans="1:12" s="69" customFormat="1" ht="13.95" customHeight="1" x14ac:dyDescent="0.3">
      <c r="A326" s="78"/>
      <c r="B326" s="24" t="s">
        <v>8</v>
      </c>
      <c r="C326" s="79" t="s">
        <v>33</v>
      </c>
      <c r="D326" s="79">
        <v>1</v>
      </c>
      <c r="E326" s="58">
        <f>E325*D326</f>
        <v>360</v>
      </c>
      <c r="F326" s="58"/>
      <c r="G326" s="58"/>
      <c r="H326" s="58">
        <f>12/1.18</f>
        <v>10.16949152542373</v>
      </c>
      <c r="I326" s="58">
        <f>H326*E326</f>
        <v>3661.016949152543</v>
      </c>
      <c r="J326" s="58"/>
      <c r="K326" s="58"/>
      <c r="L326" s="57">
        <f>K326+I326+G326</f>
        <v>3661.016949152543</v>
      </c>
    </row>
    <row r="327" spans="1:12" s="69" customFormat="1" ht="13.95" customHeight="1" x14ac:dyDescent="0.3">
      <c r="A327" s="78"/>
      <c r="B327" s="24" t="s">
        <v>10</v>
      </c>
      <c r="C327" s="79" t="s">
        <v>15</v>
      </c>
      <c r="D327" s="79">
        <v>1.7000000000000001E-2</v>
      </c>
      <c r="E327" s="58">
        <f>D327*E325</f>
        <v>6.12</v>
      </c>
      <c r="F327" s="58"/>
      <c r="G327" s="58"/>
      <c r="H327" s="58"/>
      <c r="I327" s="58"/>
      <c r="J327" s="58">
        <v>4</v>
      </c>
      <c r="K327" s="58">
        <f>J327*E327</f>
        <v>24.48</v>
      </c>
      <c r="L327" s="57">
        <f>K327+I327+G327</f>
        <v>24.48</v>
      </c>
    </row>
    <row r="328" spans="1:12" s="69" customFormat="1" ht="13.95" customHeight="1" x14ac:dyDescent="0.3">
      <c r="A328" s="78"/>
      <c r="B328" s="24" t="s">
        <v>12</v>
      </c>
      <c r="C328" s="79"/>
      <c r="D328" s="79"/>
      <c r="E328" s="58"/>
      <c r="F328" s="58"/>
      <c r="G328" s="58"/>
      <c r="H328" s="58"/>
      <c r="I328" s="58"/>
      <c r="J328" s="58"/>
      <c r="K328" s="58"/>
      <c r="L328" s="57">
        <f>K328+I328+G328</f>
        <v>0</v>
      </c>
    </row>
    <row r="329" spans="1:12" s="69" customFormat="1" ht="13.95" customHeight="1" x14ac:dyDescent="0.3">
      <c r="A329" s="78"/>
      <c r="B329" s="24" t="s">
        <v>35</v>
      </c>
      <c r="C329" s="79" t="s">
        <v>27</v>
      </c>
      <c r="D329" s="79">
        <v>0.11</v>
      </c>
      <c r="E329" s="58">
        <f>D329*E325</f>
        <v>39.6</v>
      </c>
      <c r="F329" s="56">
        <f>150/1.18</f>
        <v>127.11864406779662</v>
      </c>
      <c r="G329" s="56">
        <f>F329*E329</f>
        <v>5033.8983050847464</v>
      </c>
      <c r="H329" s="58"/>
      <c r="I329" s="58"/>
      <c r="J329" s="58"/>
      <c r="K329" s="58"/>
      <c r="L329" s="57">
        <f>K329+I329+G329</f>
        <v>5033.8983050847464</v>
      </c>
    </row>
    <row r="330" spans="1:12" s="69" customFormat="1" ht="13.95" customHeight="1" x14ac:dyDescent="0.3">
      <c r="A330" s="78"/>
      <c r="B330" s="24" t="s">
        <v>14</v>
      </c>
      <c r="C330" s="79" t="s">
        <v>15</v>
      </c>
      <c r="D330" s="79">
        <v>0.11</v>
      </c>
      <c r="E330" s="58">
        <f>D330*E325</f>
        <v>39.6</v>
      </c>
      <c r="F330" s="58">
        <v>4</v>
      </c>
      <c r="G330" s="56">
        <f>F330*E330</f>
        <v>158.4</v>
      </c>
      <c r="H330" s="58"/>
      <c r="I330" s="58"/>
      <c r="J330" s="58"/>
      <c r="K330" s="58"/>
      <c r="L330" s="57">
        <f>K330+I330+G330</f>
        <v>158.4</v>
      </c>
    </row>
    <row r="331" spans="1:12" s="69" customFormat="1" ht="27.6" customHeight="1" x14ac:dyDescent="0.3">
      <c r="A331" s="68">
        <f>A325+1</f>
        <v>5</v>
      </c>
      <c r="B331" s="74" t="s">
        <v>66</v>
      </c>
      <c r="C331" s="75" t="s">
        <v>33</v>
      </c>
      <c r="D331" s="75"/>
      <c r="E331" s="103">
        <f>E309</f>
        <v>3996.56</v>
      </c>
      <c r="F331" s="76"/>
      <c r="G331" s="76"/>
      <c r="H331" s="76"/>
      <c r="I331" s="76"/>
      <c r="J331" s="76"/>
      <c r="K331" s="76"/>
      <c r="L331" s="77"/>
    </row>
    <row r="332" spans="1:12" s="69" customFormat="1" ht="13.95" customHeight="1" x14ac:dyDescent="0.3">
      <c r="A332" s="78"/>
      <c r="B332" s="24" t="s">
        <v>8</v>
      </c>
      <c r="C332" s="79" t="s">
        <v>33</v>
      </c>
      <c r="D332" s="79">
        <v>1</v>
      </c>
      <c r="E332" s="58">
        <f>E331*D332</f>
        <v>3996.56</v>
      </c>
      <c r="F332" s="58"/>
      <c r="G332" s="58"/>
      <c r="H332" s="58">
        <f>12/1.18</f>
        <v>10.16949152542373</v>
      </c>
      <c r="I332" s="58">
        <f>H332*E332</f>
        <v>40642.983050847462</v>
      </c>
      <c r="J332" s="58"/>
      <c r="K332" s="58"/>
      <c r="L332" s="57">
        <f>K332+I332+G332</f>
        <v>40642.983050847462</v>
      </c>
    </row>
    <row r="333" spans="1:12" s="69" customFormat="1" ht="13.95" customHeight="1" x14ac:dyDescent="0.3">
      <c r="A333" s="78"/>
      <c r="B333" s="24" t="s">
        <v>10</v>
      </c>
      <c r="C333" s="79" t="s">
        <v>15</v>
      </c>
      <c r="D333" s="79">
        <v>1.7000000000000001E-2</v>
      </c>
      <c r="E333" s="58">
        <f>D333*E331</f>
        <v>67.941519999999997</v>
      </c>
      <c r="F333" s="58"/>
      <c r="G333" s="58"/>
      <c r="H333" s="58"/>
      <c r="I333" s="58"/>
      <c r="J333" s="58">
        <v>4</v>
      </c>
      <c r="K333" s="58">
        <f>J333*E333</f>
        <v>271.76607999999999</v>
      </c>
      <c r="L333" s="57">
        <f>K333+I333+G333</f>
        <v>271.76607999999999</v>
      </c>
    </row>
    <row r="334" spans="1:12" s="69" customFormat="1" ht="13.95" customHeight="1" x14ac:dyDescent="0.3">
      <c r="A334" s="78"/>
      <c r="B334" s="24" t="s">
        <v>12</v>
      </c>
      <c r="C334" s="79"/>
      <c r="D334" s="79"/>
      <c r="E334" s="58"/>
      <c r="F334" s="58"/>
      <c r="G334" s="58"/>
      <c r="H334" s="58"/>
      <c r="I334" s="58"/>
      <c r="J334" s="58"/>
      <c r="K334" s="58"/>
      <c r="L334" s="57">
        <f>K334+I334+G334</f>
        <v>0</v>
      </c>
    </row>
    <row r="335" spans="1:12" s="69" customFormat="1" ht="13.95" customHeight="1" x14ac:dyDescent="0.3">
      <c r="A335" s="78"/>
      <c r="B335" s="24" t="s">
        <v>35</v>
      </c>
      <c r="C335" s="79" t="s">
        <v>27</v>
      </c>
      <c r="D335" s="79">
        <v>5.5E-2</v>
      </c>
      <c r="E335" s="58">
        <f>D335*E331</f>
        <v>219.8108</v>
      </c>
      <c r="F335" s="56">
        <f>150/1.18</f>
        <v>127.11864406779662</v>
      </c>
      <c r="G335" s="56">
        <f>F335*E335</f>
        <v>27942.050847457631</v>
      </c>
      <c r="H335" s="58"/>
      <c r="I335" s="58"/>
      <c r="J335" s="58"/>
      <c r="K335" s="58"/>
      <c r="L335" s="57">
        <f>K335+I335+G335</f>
        <v>27942.050847457631</v>
      </c>
    </row>
    <row r="336" spans="1:12" s="69" customFormat="1" ht="13.95" customHeight="1" x14ac:dyDescent="0.3">
      <c r="A336" s="78"/>
      <c r="B336" s="24" t="s">
        <v>14</v>
      </c>
      <c r="C336" s="79" t="s">
        <v>15</v>
      </c>
      <c r="D336" s="79">
        <v>0.11</v>
      </c>
      <c r="E336" s="58">
        <f>D336*E331</f>
        <v>439.6216</v>
      </c>
      <c r="F336" s="58">
        <v>4</v>
      </c>
      <c r="G336" s="56">
        <f>F336*E336</f>
        <v>1758.4864</v>
      </c>
      <c r="H336" s="58"/>
      <c r="I336" s="58"/>
      <c r="J336" s="58"/>
      <c r="K336" s="58"/>
      <c r="L336" s="57">
        <f>K336+I336+G336</f>
        <v>1758.4864</v>
      </c>
    </row>
    <row r="337" spans="1:12" s="69" customFormat="1" ht="27.6" customHeight="1" x14ac:dyDescent="0.3">
      <c r="A337" s="68">
        <f>A331+1</f>
        <v>6</v>
      </c>
      <c r="B337" s="74" t="s">
        <v>67</v>
      </c>
      <c r="C337" s="75" t="s">
        <v>33</v>
      </c>
      <c r="D337" s="75"/>
      <c r="E337" s="76">
        <f>790.6+140.636</f>
        <v>931.23599999999999</v>
      </c>
      <c r="F337" s="76"/>
      <c r="G337" s="76"/>
      <c r="H337" s="76"/>
      <c r="I337" s="76"/>
      <c r="J337" s="76"/>
      <c r="K337" s="76"/>
      <c r="L337" s="77"/>
    </row>
    <row r="338" spans="1:12" s="69" customFormat="1" ht="13.95" customHeight="1" x14ac:dyDescent="0.3">
      <c r="A338" s="78"/>
      <c r="B338" s="24" t="s">
        <v>8</v>
      </c>
      <c r="C338" s="79" t="s">
        <v>33</v>
      </c>
      <c r="D338" s="79">
        <v>1</v>
      </c>
      <c r="E338" s="58">
        <f>E337*D338</f>
        <v>931.23599999999999</v>
      </c>
      <c r="F338" s="58"/>
      <c r="G338" s="58"/>
      <c r="H338" s="58">
        <f>12/1.18</f>
        <v>10.16949152542373</v>
      </c>
      <c r="I338" s="58">
        <f>H338*E338</f>
        <v>9470.1966101694925</v>
      </c>
      <c r="J338" s="58"/>
      <c r="K338" s="58"/>
      <c r="L338" s="57">
        <f>K338+I338+G338</f>
        <v>9470.1966101694925</v>
      </c>
    </row>
    <row r="339" spans="1:12" s="69" customFormat="1" ht="13.95" customHeight="1" x14ac:dyDescent="0.3">
      <c r="A339" s="78"/>
      <c r="B339" s="24" t="s">
        <v>10</v>
      </c>
      <c r="C339" s="79" t="s">
        <v>15</v>
      </c>
      <c r="D339" s="79">
        <v>1.7000000000000001E-2</v>
      </c>
      <c r="E339" s="58">
        <f>D339*E337</f>
        <v>15.831012000000001</v>
      </c>
      <c r="F339" s="58"/>
      <c r="G339" s="58"/>
      <c r="H339" s="58"/>
      <c r="I339" s="58"/>
      <c r="J339" s="58">
        <v>4</v>
      </c>
      <c r="K339" s="58">
        <f>J339*E339</f>
        <v>63.324048000000005</v>
      </c>
      <c r="L339" s="57">
        <f>K339+I339+G339</f>
        <v>63.324048000000005</v>
      </c>
    </row>
    <row r="340" spans="1:12" s="69" customFormat="1" ht="13.95" customHeight="1" x14ac:dyDescent="0.3">
      <c r="A340" s="78"/>
      <c r="B340" s="24" t="s">
        <v>12</v>
      </c>
      <c r="C340" s="79"/>
      <c r="D340" s="79"/>
      <c r="E340" s="58"/>
      <c r="F340" s="58"/>
      <c r="G340" s="58"/>
      <c r="H340" s="58"/>
      <c r="I340" s="58"/>
      <c r="J340" s="58"/>
      <c r="K340" s="58"/>
      <c r="L340" s="57">
        <f>K340+I340+G340</f>
        <v>0</v>
      </c>
    </row>
    <row r="341" spans="1:12" s="69" customFormat="1" ht="13.95" customHeight="1" x14ac:dyDescent="0.3">
      <c r="A341" s="78"/>
      <c r="B341" s="24" t="s">
        <v>35</v>
      </c>
      <c r="C341" s="79" t="s">
        <v>27</v>
      </c>
      <c r="D341" s="79">
        <v>5.5E-2</v>
      </c>
      <c r="E341" s="58">
        <f>D341*E337</f>
        <v>51.217979999999997</v>
      </c>
      <c r="F341" s="56">
        <f>150/1.18</f>
        <v>127.11864406779662</v>
      </c>
      <c r="G341" s="56">
        <f>F341*E341</f>
        <v>6510.7601694915256</v>
      </c>
      <c r="H341" s="58"/>
      <c r="I341" s="58"/>
      <c r="J341" s="58"/>
      <c r="K341" s="58"/>
      <c r="L341" s="57">
        <f>K341+I341+G341</f>
        <v>6510.7601694915256</v>
      </c>
    </row>
    <row r="342" spans="1:12" s="69" customFormat="1" ht="13.95" customHeight="1" x14ac:dyDescent="0.3">
      <c r="A342" s="78"/>
      <c r="B342" s="24" t="s">
        <v>14</v>
      </c>
      <c r="C342" s="79" t="s">
        <v>15</v>
      </c>
      <c r="D342" s="79">
        <v>0.11</v>
      </c>
      <c r="E342" s="58">
        <f>D342*E337</f>
        <v>102.43595999999999</v>
      </c>
      <c r="F342" s="58">
        <v>4</v>
      </c>
      <c r="G342" s="56">
        <f>F342*E342</f>
        <v>409.74383999999998</v>
      </c>
      <c r="H342" s="58"/>
      <c r="I342" s="58"/>
      <c r="J342" s="58"/>
      <c r="K342" s="58"/>
      <c r="L342" s="57">
        <f>K342+I342+G342</f>
        <v>409.74383999999998</v>
      </c>
    </row>
    <row r="343" spans="1:12" s="69" customFormat="1" ht="27.6" customHeight="1" x14ac:dyDescent="0.3">
      <c r="A343" s="68">
        <f>A337+1</f>
        <v>7</v>
      </c>
      <c r="B343" s="74" t="s">
        <v>72</v>
      </c>
      <c r="C343" s="75" t="s">
        <v>33</v>
      </c>
      <c r="D343" s="75"/>
      <c r="E343" s="76">
        <f>E319+E325</f>
        <v>767</v>
      </c>
      <c r="F343" s="56"/>
      <c r="G343" s="76"/>
      <c r="H343" s="76"/>
      <c r="I343" s="76"/>
      <c r="J343" s="76"/>
      <c r="K343" s="76"/>
      <c r="L343" s="77"/>
    </row>
    <row r="344" spans="1:12" s="69" customFormat="1" ht="13.95" customHeight="1" x14ac:dyDescent="0.3">
      <c r="A344" s="78"/>
      <c r="B344" s="24" t="s">
        <v>8</v>
      </c>
      <c r="C344" s="79" t="s">
        <v>33</v>
      </c>
      <c r="D344" s="79">
        <v>1</v>
      </c>
      <c r="E344" s="58">
        <f>E343*D344</f>
        <v>767</v>
      </c>
      <c r="F344" s="56"/>
      <c r="G344" s="56"/>
      <c r="H344" s="58">
        <f>25/0.8/0.98</f>
        <v>31.887755102040817</v>
      </c>
      <c r="I344" s="58">
        <f>H344*E344</f>
        <v>24457.908163265307</v>
      </c>
      <c r="J344" s="58"/>
      <c r="K344" s="58"/>
      <c r="L344" s="57">
        <f t="shared" ref="L344:L350" si="28">K344+I344+G344</f>
        <v>24457.908163265307</v>
      </c>
    </row>
    <row r="345" spans="1:12" s="69" customFormat="1" ht="13.95" customHeight="1" x14ac:dyDescent="0.3">
      <c r="A345" s="78"/>
      <c r="B345" s="24" t="s">
        <v>10</v>
      </c>
      <c r="C345" s="79" t="s">
        <v>15</v>
      </c>
      <c r="D345" s="79">
        <f>0.08</f>
        <v>0.08</v>
      </c>
      <c r="E345" s="58">
        <f>D345*E343</f>
        <v>61.36</v>
      </c>
      <c r="F345" s="56"/>
      <c r="G345" s="56"/>
      <c r="H345" s="58"/>
      <c r="I345" s="58"/>
      <c r="J345" s="58">
        <v>4</v>
      </c>
      <c r="K345" s="58">
        <f>J345*E345</f>
        <v>245.44</v>
      </c>
      <c r="L345" s="57">
        <f t="shared" si="28"/>
        <v>245.44</v>
      </c>
    </row>
    <row r="346" spans="1:12" s="69" customFormat="1" ht="13.95" customHeight="1" x14ac:dyDescent="0.3">
      <c r="A346" s="78"/>
      <c r="B346" s="24" t="s">
        <v>12</v>
      </c>
      <c r="C346" s="79"/>
      <c r="D346" s="79"/>
      <c r="E346" s="58"/>
      <c r="F346" s="56"/>
      <c r="G346" s="56"/>
      <c r="H346" s="58"/>
      <c r="I346" s="58"/>
      <c r="J346" s="58"/>
      <c r="K346" s="58"/>
      <c r="L346" s="57">
        <f t="shared" si="28"/>
        <v>0</v>
      </c>
    </row>
    <row r="347" spans="1:12" s="69" customFormat="1" ht="13.95" customHeight="1" x14ac:dyDescent="0.3">
      <c r="A347" s="78"/>
      <c r="B347" s="24" t="s">
        <v>37</v>
      </c>
      <c r="C347" s="79" t="s">
        <v>33</v>
      </c>
      <c r="D347" s="79">
        <f>1.05</f>
        <v>1.05</v>
      </c>
      <c r="E347" s="58">
        <f>D347*E343</f>
        <v>805.35</v>
      </c>
      <c r="F347" s="56">
        <f>30/1.18</f>
        <v>25.423728813559322</v>
      </c>
      <c r="G347" s="56">
        <f>F347*E347</f>
        <v>20475</v>
      </c>
      <c r="H347" s="58"/>
      <c r="I347" s="58"/>
      <c r="J347" s="58"/>
      <c r="K347" s="58"/>
      <c r="L347" s="57">
        <f t="shared" si="28"/>
        <v>20475</v>
      </c>
    </row>
    <row r="348" spans="1:12" s="69" customFormat="1" ht="13.95" customHeight="1" x14ac:dyDescent="0.3">
      <c r="A348" s="78"/>
      <c r="B348" s="24" t="s">
        <v>38</v>
      </c>
      <c r="C348" s="79" t="s">
        <v>13</v>
      </c>
      <c r="D348" s="79">
        <v>7</v>
      </c>
      <c r="E348" s="58">
        <f>D348*E343</f>
        <v>5369</v>
      </c>
      <c r="F348" s="56">
        <f>18/25/1.18</f>
        <v>0.61016949152542377</v>
      </c>
      <c r="G348" s="56">
        <f>F348*E348</f>
        <v>3276</v>
      </c>
      <c r="H348" s="58"/>
      <c r="I348" s="58"/>
      <c r="J348" s="58"/>
      <c r="K348" s="58"/>
      <c r="L348" s="57">
        <f t="shared" si="28"/>
        <v>3276</v>
      </c>
    </row>
    <row r="349" spans="1:12" s="69" customFormat="1" ht="13.95" customHeight="1" x14ac:dyDescent="0.3">
      <c r="A349" s="78"/>
      <c r="B349" s="24" t="s">
        <v>39</v>
      </c>
      <c r="C349" s="79" t="s">
        <v>13</v>
      </c>
      <c r="D349" s="79">
        <v>0.15</v>
      </c>
      <c r="E349" s="58">
        <f>D349*E343</f>
        <v>115.05</v>
      </c>
      <c r="F349" s="56">
        <f>4.5/1.18</f>
        <v>3.8135593220338984</v>
      </c>
      <c r="G349" s="56">
        <f>F349*E349</f>
        <v>438.75</v>
      </c>
      <c r="H349" s="58"/>
      <c r="I349" s="58"/>
      <c r="J349" s="58"/>
      <c r="K349" s="58"/>
      <c r="L349" s="57">
        <f t="shared" si="28"/>
        <v>438.75</v>
      </c>
    </row>
    <row r="350" spans="1:12" s="69" customFormat="1" ht="13.95" customHeight="1" x14ac:dyDescent="0.3">
      <c r="A350" s="78"/>
      <c r="B350" s="24" t="s">
        <v>14</v>
      </c>
      <c r="C350" s="79" t="s">
        <v>15</v>
      </c>
      <c r="D350" s="79">
        <f>0.19</f>
        <v>0.19</v>
      </c>
      <c r="E350" s="58">
        <f>D350*E343</f>
        <v>145.72999999999999</v>
      </c>
      <c r="F350" s="56">
        <v>4</v>
      </c>
      <c r="G350" s="56">
        <f>F350*E350</f>
        <v>582.91999999999996</v>
      </c>
      <c r="H350" s="58"/>
      <c r="I350" s="58"/>
      <c r="J350" s="58"/>
      <c r="K350" s="58"/>
      <c r="L350" s="57">
        <f t="shared" si="28"/>
        <v>582.91999999999996</v>
      </c>
    </row>
    <row r="351" spans="1:12" s="69" customFormat="1" ht="13.95" customHeight="1" x14ac:dyDescent="0.3">
      <c r="A351" s="68">
        <f>A343+1</f>
        <v>8</v>
      </c>
      <c r="B351" s="74" t="s">
        <v>71</v>
      </c>
      <c r="C351" s="75" t="s">
        <v>33</v>
      </c>
      <c r="D351" s="75"/>
      <c r="E351" s="76">
        <f>E337</f>
        <v>931.23599999999999</v>
      </c>
      <c r="F351" s="56"/>
      <c r="G351" s="76"/>
      <c r="H351" s="76"/>
      <c r="I351" s="76"/>
      <c r="J351" s="76"/>
      <c r="K351" s="76"/>
      <c r="L351" s="77"/>
    </row>
    <row r="352" spans="1:12" s="69" customFormat="1" ht="13.95" customHeight="1" x14ac:dyDescent="0.3">
      <c r="A352" s="78"/>
      <c r="B352" s="24" t="s">
        <v>8</v>
      </c>
      <c r="C352" s="79" t="s">
        <v>33</v>
      </c>
      <c r="D352" s="79">
        <v>1</v>
      </c>
      <c r="E352" s="58">
        <f>E351*D352</f>
        <v>931.23599999999999</v>
      </c>
      <c r="F352" s="56"/>
      <c r="G352" s="56"/>
      <c r="H352" s="58">
        <f>25/0.8/0.98</f>
        <v>31.887755102040817</v>
      </c>
      <c r="I352" s="58">
        <f>H352*E352</f>
        <v>29695.025510204083</v>
      </c>
      <c r="J352" s="58"/>
      <c r="K352" s="58"/>
      <c r="L352" s="57">
        <f t="shared" ref="L352:L358" si="29">K352+I352+G352</f>
        <v>29695.025510204083</v>
      </c>
    </row>
    <row r="353" spans="1:12" s="69" customFormat="1" ht="13.95" customHeight="1" x14ac:dyDescent="0.3">
      <c r="A353" s="78"/>
      <c r="B353" s="24" t="s">
        <v>10</v>
      </c>
      <c r="C353" s="79" t="s">
        <v>15</v>
      </c>
      <c r="D353" s="79">
        <f>0.08</f>
        <v>0.08</v>
      </c>
      <c r="E353" s="58">
        <f>D353*E351</f>
        <v>74.49888</v>
      </c>
      <c r="F353" s="56"/>
      <c r="G353" s="56"/>
      <c r="H353" s="58"/>
      <c r="I353" s="58"/>
      <c r="J353" s="58">
        <v>4</v>
      </c>
      <c r="K353" s="58">
        <f>J353*E353</f>
        <v>297.99552</v>
      </c>
      <c r="L353" s="57">
        <f t="shared" si="29"/>
        <v>297.99552</v>
      </c>
    </row>
    <row r="354" spans="1:12" s="69" customFormat="1" ht="13.95" customHeight="1" x14ac:dyDescent="0.3">
      <c r="A354" s="78"/>
      <c r="B354" s="24" t="s">
        <v>12</v>
      </c>
      <c r="C354" s="79"/>
      <c r="D354" s="79"/>
      <c r="E354" s="58"/>
      <c r="F354" s="56"/>
      <c r="G354" s="56"/>
      <c r="H354" s="58"/>
      <c r="I354" s="58"/>
      <c r="J354" s="58"/>
      <c r="K354" s="58"/>
      <c r="L354" s="57">
        <f t="shared" si="29"/>
        <v>0</v>
      </c>
    </row>
    <row r="355" spans="1:12" s="69" customFormat="1" ht="13.95" customHeight="1" x14ac:dyDescent="0.3">
      <c r="A355" s="78"/>
      <c r="B355" s="24" t="s">
        <v>37</v>
      </c>
      <c r="C355" s="79" t="s">
        <v>33</v>
      </c>
      <c r="D355" s="79">
        <f>1.05</f>
        <v>1.05</v>
      </c>
      <c r="E355" s="58">
        <f>D355*E351</f>
        <v>977.79780000000005</v>
      </c>
      <c r="F355" s="56">
        <f>F347</f>
        <v>25.423728813559322</v>
      </c>
      <c r="G355" s="56">
        <f>F355*E355</f>
        <v>24859.266101694917</v>
      </c>
      <c r="H355" s="58"/>
      <c r="I355" s="58"/>
      <c r="J355" s="58"/>
      <c r="K355" s="58"/>
      <c r="L355" s="57">
        <f t="shared" si="29"/>
        <v>24859.266101694917</v>
      </c>
    </row>
    <row r="356" spans="1:12" s="69" customFormat="1" ht="13.95" customHeight="1" x14ac:dyDescent="0.3">
      <c r="A356" s="78"/>
      <c r="B356" s="24" t="s">
        <v>38</v>
      </c>
      <c r="C356" s="79" t="s">
        <v>13</v>
      </c>
      <c r="D356" s="79">
        <v>7</v>
      </c>
      <c r="E356" s="58">
        <f>D356*E351</f>
        <v>6518.652</v>
      </c>
      <c r="F356" s="56">
        <f>18/25/1.18</f>
        <v>0.61016949152542377</v>
      </c>
      <c r="G356" s="56">
        <f>F356*E356</f>
        <v>3977.4825762711866</v>
      </c>
      <c r="H356" s="58"/>
      <c r="I356" s="58"/>
      <c r="J356" s="58"/>
      <c r="K356" s="58"/>
      <c r="L356" s="57">
        <f t="shared" si="29"/>
        <v>3977.4825762711866</v>
      </c>
    </row>
    <row r="357" spans="1:12" s="69" customFormat="1" ht="13.95" customHeight="1" x14ac:dyDescent="0.3">
      <c r="A357" s="78"/>
      <c r="B357" s="24" t="s">
        <v>39</v>
      </c>
      <c r="C357" s="79" t="s">
        <v>13</v>
      </c>
      <c r="D357" s="79">
        <v>0.15</v>
      </c>
      <c r="E357" s="58">
        <f>D357*E351</f>
        <v>139.68539999999999</v>
      </c>
      <c r="F357" s="56">
        <f>4.5/1.18</f>
        <v>3.8135593220338984</v>
      </c>
      <c r="G357" s="56">
        <f>F357*E357</f>
        <v>532.69855932203382</v>
      </c>
      <c r="H357" s="58"/>
      <c r="I357" s="58"/>
      <c r="J357" s="58"/>
      <c r="K357" s="58"/>
      <c r="L357" s="57">
        <f t="shared" si="29"/>
        <v>532.69855932203382</v>
      </c>
    </row>
    <row r="358" spans="1:12" s="69" customFormat="1" ht="13.95" customHeight="1" x14ac:dyDescent="0.3">
      <c r="A358" s="78"/>
      <c r="B358" s="24" t="s">
        <v>14</v>
      </c>
      <c r="C358" s="79" t="s">
        <v>15</v>
      </c>
      <c r="D358" s="79">
        <f>0.19</f>
        <v>0.19</v>
      </c>
      <c r="E358" s="58">
        <f>D358*E351</f>
        <v>176.93484000000001</v>
      </c>
      <c r="F358" s="56">
        <v>4</v>
      </c>
      <c r="G358" s="56">
        <f>F358*E358</f>
        <v>707.73936000000003</v>
      </c>
      <c r="H358" s="58"/>
      <c r="I358" s="58"/>
      <c r="J358" s="58"/>
      <c r="K358" s="58"/>
      <c r="L358" s="57">
        <f t="shared" si="29"/>
        <v>707.73936000000003</v>
      </c>
    </row>
    <row r="359" spans="1:12" s="69" customFormat="1" ht="13.95" customHeight="1" x14ac:dyDescent="0.3">
      <c r="A359" s="68">
        <f>A351+1</f>
        <v>9</v>
      </c>
      <c r="B359" s="74" t="s">
        <v>40</v>
      </c>
      <c r="C359" s="75" t="s">
        <v>7</v>
      </c>
      <c r="D359" s="75"/>
      <c r="E359" s="76">
        <v>83</v>
      </c>
      <c r="F359" s="56"/>
      <c r="G359" s="76"/>
      <c r="H359" s="76"/>
      <c r="I359" s="76"/>
      <c r="J359" s="76"/>
      <c r="K359" s="76"/>
      <c r="L359" s="77"/>
    </row>
    <row r="360" spans="1:12" s="69" customFormat="1" ht="13.95" customHeight="1" x14ac:dyDescent="0.3">
      <c r="A360" s="78"/>
      <c r="B360" s="24" t="s">
        <v>8</v>
      </c>
      <c r="C360" s="79" t="s">
        <v>7</v>
      </c>
      <c r="D360" s="79">
        <v>1</v>
      </c>
      <c r="E360" s="58">
        <f>E359*D360</f>
        <v>83</v>
      </c>
      <c r="F360" s="56"/>
      <c r="G360" s="56"/>
      <c r="H360" s="58">
        <f>10/0.8/0.98</f>
        <v>12.755102040816327</v>
      </c>
      <c r="I360" s="58">
        <f>H360*E360</f>
        <v>1058.6734693877552</v>
      </c>
      <c r="J360" s="58"/>
      <c r="K360" s="58"/>
      <c r="L360" s="57">
        <f t="shared" ref="L360:L366" si="30">K360+I360+G360</f>
        <v>1058.6734693877552</v>
      </c>
    </row>
    <row r="361" spans="1:12" s="69" customFormat="1" ht="13.95" customHeight="1" x14ac:dyDescent="0.3">
      <c r="A361" s="78"/>
      <c r="B361" s="24" t="s">
        <v>10</v>
      </c>
      <c r="C361" s="79" t="s">
        <v>15</v>
      </c>
      <c r="D361" s="79">
        <f>0.08*0.1</f>
        <v>8.0000000000000002E-3</v>
      </c>
      <c r="E361" s="58">
        <f>D361*E359</f>
        <v>0.66400000000000003</v>
      </c>
      <c r="F361" s="56"/>
      <c r="G361" s="56"/>
      <c r="H361" s="58"/>
      <c r="I361" s="58"/>
      <c r="J361" s="58">
        <v>4</v>
      </c>
      <c r="K361" s="58">
        <f>J361*E361</f>
        <v>2.6560000000000001</v>
      </c>
      <c r="L361" s="57">
        <f t="shared" si="30"/>
        <v>2.6560000000000001</v>
      </c>
    </row>
    <row r="362" spans="1:12" s="69" customFormat="1" ht="13.95" customHeight="1" x14ac:dyDescent="0.3">
      <c r="A362" s="78"/>
      <c r="B362" s="24" t="s">
        <v>12</v>
      </c>
      <c r="C362" s="79"/>
      <c r="D362" s="79"/>
      <c r="E362" s="58"/>
      <c r="F362" s="56"/>
      <c r="G362" s="56"/>
      <c r="H362" s="58"/>
      <c r="I362" s="58"/>
      <c r="J362" s="58"/>
      <c r="K362" s="58"/>
      <c r="L362" s="57">
        <f t="shared" si="30"/>
        <v>0</v>
      </c>
    </row>
    <row r="363" spans="1:12" s="69" customFormat="1" ht="13.95" customHeight="1" x14ac:dyDescent="0.3">
      <c r="A363" s="78"/>
      <c r="B363" s="24" t="s">
        <v>37</v>
      </c>
      <c r="C363" s="79" t="s">
        <v>33</v>
      </c>
      <c r="D363" s="79">
        <f>1.05*0.1</f>
        <v>0.10500000000000001</v>
      </c>
      <c r="E363" s="58">
        <f>D363*E359</f>
        <v>8.7150000000000016</v>
      </c>
      <c r="F363" s="56">
        <f>F355</f>
        <v>25.423728813559322</v>
      </c>
      <c r="G363" s="56">
        <f>F363*E363</f>
        <v>221.56779661016952</v>
      </c>
      <c r="H363" s="58"/>
      <c r="I363" s="58"/>
      <c r="J363" s="58"/>
      <c r="K363" s="58"/>
      <c r="L363" s="57">
        <f t="shared" si="30"/>
        <v>221.56779661016952</v>
      </c>
    </row>
    <row r="364" spans="1:12" s="69" customFormat="1" ht="13.95" customHeight="1" x14ac:dyDescent="0.3">
      <c r="A364" s="78"/>
      <c r="B364" s="24" t="s">
        <v>38</v>
      </c>
      <c r="C364" s="79" t="s">
        <v>13</v>
      </c>
      <c r="D364" s="79">
        <f>7*0.1</f>
        <v>0.70000000000000007</v>
      </c>
      <c r="E364" s="58">
        <f>D364*E359</f>
        <v>58.100000000000009</v>
      </c>
      <c r="F364" s="56">
        <f>18/25/1.18</f>
        <v>0.61016949152542377</v>
      </c>
      <c r="G364" s="56">
        <f>F364*E364</f>
        <v>35.450847457627127</v>
      </c>
      <c r="H364" s="58"/>
      <c r="I364" s="58"/>
      <c r="J364" s="58"/>
      <c r="K364" s="58"/>
      <c r="L364" s="57">
        <f t="shared" si="30"/>
        <v>35.450847457627127</v>
      </c>
    </row>
    <row r="365" spans="1:12" s="69" customFormat="1" ht="13.95" customHeight="1" x14ac:dyDescent="0.3">
      <c r="A365" s="78"/>
      <c r="B365" s="24" t="s">
        <v>39</v>
      </c>
      <c r="C365" s="79" t="s">
        <v>13</v>
      </c>
      <c r="D365" s="79">
        <f>0.15*0.1</f>
        <v>1.4999999999999999E-2</v>
      </c>
      <c r="E365" s="58">
        <f>D365*E359</f>
        <v>1.2449999999999999</v>
      </c>
      <c r="F365" s="56">
        <f>4.5/1.18</f>
        <v>3.8135593220338984</v>
      </c>
      <c r="G365" s="56">
        <f>F365*E365</f>
        <v>4.7478813559322033</v>
      </c>
      <c r="H365" s="58"/>
      <c r="I365" s="58"/>
      <c r="J365" s="58"/>
      <c r="K365" s="58"/>
      <c r="L365" s="57">
        <f t="shared" si="30"/>
        <v>4.7478813559322033</v>
      </c>
    </row>
    <row r="366" spans="1:12" s="69" customFormat="1" ht="13.95" customHeight="1" x14ac:dyDescent="0.3">
      <c r="A366" s="78"/>
      <c r="B366" s="24" t="s">
        <v>14</v>
      </c>
      <c r="C366" s="79" t="s">
        <v>15</v>
      </c>
      <c r="D366" s="79">
        <f>0.93*0.1</f>
        <v>9.3000000000000013E-2</v>
      </c>
      <c r="E366" s="58">
        <f>D366*E359</f>
        <v>7.7190000000000012</v>
      </c>
      <c r="F366" s="56">
        <v>4</v>
      </c>
      <c r="G366" s="56">
        <f>F366*E366</f>
        <v>30.876000000000005</v>
      </c>
      <c r="H366" s="58"/>
      <c r="I366" s="58"/>
      <c r="J366" s="58"/>
      <c r="K366" s="58"/>
      <c r="L366" s="57">
        <f t="shared" si="30"/>
        <v>30.876000000000005</v>
      </c>
    </row>
    <row r="367" spans="1:12" s="69" customFormat="1" ht="45" customHeight="1" x14ac:dyDescent="0.3">
      <c r="A367" s="68">
        <f>A359+1</f>
        <v>10</v>
      </c>
      <c r="B367" s="74" t="s">
        <v>85</v>
      </c>
      <c r="C367" s="75" t="s">
        <v>33</v>
      </c>
      <c r="D367" s="75"/>
      <c r="E367" s="76">
        <f>203.98*11*3.1</f>
        <v>6955.7179999999998</v>
      </c>
      <c r="F367" s="76"/>
      <c r="G367" s="76"/>
      <c r="H367" s="76"/>
      <c r="I367" s="76"/>
      <c r="J367" s="76"/>
      <c r="K367" s="76"/>
      <c r="L367" s="77"/>
    </row>
    <row r="368" spans="1:12" s="69" customFormat="1" ht="12.75" customHeight="1" x14ac:dyDescent="0.3">
      <c r="A368" s="78"/>
      <c r="B368" s="24" t="s">
        <v>8</v>
      </c>
      <c r="C368" s="79" t="s">
        <v>33</v>
      </c>
      <c r="D368" s="79">
        <v>1</v>
      </c>
      <c r="E368" s="58">
        <f>E367*D368</f>
        <v>6955.7179999999998</v>
      </c>
      <c r="F368" s="58"/>
      <c r="G368" s="56"/>
      <c r="H368" s="58">
        <f>12/0.8/0.98</f>
        <v>15.306122448979592</v>
      </c>
      <c r="I368" s="58">
        <f>E368*H368</f>
        <v>106465.07142857142</v>
      </c>
      <c r="J368" s="58"/>
      <c r="K368" s="58"/>
      <c r="L368" s="57">
        <f t="shared" ref="L368:L380" si="31">G368+I368+K368</f>
        <v>106465.07142857142</v>
      </c>
    </row>
    <row r="369" spans="1:12" s="69" customFormat="1" ht="12.75" customHeight="1" x14ac:dyDescent="0.3">
      <c r="A369" s="78"/>
      <c r="B369" s="24" t="s">
        <v>12</v>
      </c>
      <c r="C369" s="79"/>
      <c r="D369" s="79"/>
      <c r="E369" s="58"/>
      <c r="F369" s="58"/>
      <c r="G369" s="56"/>
      <c r="H369" s="58"/>
      <c r="I369" s="58"/>
      <c r="J369" s="58"/>
      <c r="K369" s="58"/>
      <c r="L369" s="57">
        <f t="shared" si="31"/>
        <v>0</v>
      </c>
    </row>
    <row r="370" spans="1:12" s="69" customFormat="1" ht="12.75" customHeight="1" x14ac:dyDescent="0.3">
      <c r="A370" s="78"/>
      <c r="B370" s="24" t="s">
        <v>75</v>
      </c>
      <c r="C370" s="79" t="s">
        <v>33</v>
      </c>
      <c r="D370" s="79">
        <v>2.1</v>
      </c>
      <c r="E370" s="58">
        <f>D370*E367</f>
        <v>14607.007799999999</v>
      </c>
      <c r="F370" s="58">
        <f>17.3/3/1.18</f>
        <v>4.8870056497175147</v>
      </c>
      <c r="G370" s="56">
        <f t="shared" ref="G370:G380" si="32">F370*E370</f>
        <v>71384.529644067807</v>
      </c>
      <c r="H370" s="58"/>
      <c r="I370" s="58"/>
      <c r="J370" s="58"/>
      <c r="K370" s="58"/>
      <c r="L370" s="57">
        <f t="shared" si="31"/>
        <v>71384.529644067807</v>
      </c>
    </row>
    <row r="371" spans="1:12" s="69" customFormat="1" ht="12.75" customHeight="1" x14ac:dyDescent="0.3">
      <c r="A371" s="78"/>
      <c r="B371" s="24" t="s">
        <v>76</v>
      </c>
      <c r="C371" s="79" t="s">
        <v>7</v>
      </c>
      <c r="D371" s="79">
        <v>2</v>
      </c>
      <c r="E371" s="58">
        <f>D371*E367</f>
        <v>13911.436</v>
      </c>
      <c r="F371" s="58">
        <f>10.9/3/1.18</f>
        <v>3.0790960451977401</v>
      </c>
      <c r="G371" s="56">
        <f t="shared" si="32"/>
        <v>42834.64757062147</v>
      </c>
      <c r="H371" s="58"/>
      <c r="I371" s="58"/>
      <c r="J371" s="58"/>
      <c r="K371" s="58"/>
      <c r="L371" s="57">
        <f t="shared" si="31"/>
        <v>42834.64757062147</v>
      </c>
    </row>
    <row r="372" spans="1:12" s="69" customFormat="1" ht="12.75" customHeight="1" x14ac:dyDescent="0.3">
      <c r="A372" s="78"/>
      <c r="B372" s="24" t="s">
        <v>77</v>
      </c>
      <c r="C372" s="79" t="s">
        <v>7</v>
      </c>
      <c r="D372" s="79">
        <v>0.7</v>
      </c>
      <c r="E372" s="58">
        <f>D372*E367</f>
        <v>4869.0025999999998</v>
      </c>
      <c r="F372" s="58">
        <f>8.2/3/1.18</f>
        <v>2.3163841807909602</v>
      </c>
      <c r="G372" s="56">
        <f t="shared" si="32"/>
        <v>11278.480598870055</v>
      </c>
      <c r="H372" s="58"/>
      <c r="I372" s="58"/>
      <c r="J372" s="58"/>
      <c r="K372" s="58"/>
      <c r="L372" s="57">
        <f t="shared" si="31"/>
        <v>11278.480598870055</v>
      </c>
    </row>
    <row r="373" spans="1:12" s="69" customFormat="1" ht="12.75" customHeight="1" x14ac:dyDescent="0.3">
      <c r="A373" s="78"/>
      <c r="B373" s="24" t="s">
        <v>78</v>
      </c>
      <c r="C373" s="79" t="s">
        <v>9</v>
      </c>
      <c r="D373" s="79">
        <v>0.7</v>
      </c>
      <c r="E373" s="58">
        <f>D373*E367</f>
        <v>4869.0025999999998</v>
      </c>
      <c r="F373" s="58">
        <f>0.65/1.18</f>
        <v>0.55084745762711873</v>
      </c>
      <c r="G373" s="56">
        <f t="shared" si="32"/>
        <v>2682.0777033898307</v>
      </c>
      <c r="H373" s="58"/>
      <c r="I373" s="58"/>
      <c r="J373" s="58"/>
      <c r="K373" s="58"/>
      <c r="L373" s="57">
        <f t="shared" si="31"/>
        <v>2682.0777033898307</v>
      </c>
    </row>
    <row r="374" spans="1:12" s="69" customFormat="1" ht="12.75" customHeight="1" x14ac:dyDescent="0.3">
      <c r="A374" s="78"/>
      <c r="B374" s="24" t="s">
        <v>79</v>
      </c>
      <c r="C374" s="79" t="s">
        <v>9</v>
      </c>
      <c r="D374" s="79">
        <v>1.6</v>
      </c>
      <c r="E374" s="58">
        <f>D374*E367</f>
        <v>11129.148800000001</v>
      </c>
      <c r="F374" s="58">
        <f>9.5/100/1.18</f>
        <v>8.0508474576271194E-2</v>
      </c>
      <c r="G374" s="56">
        <f t="shared" si="32"/>
        <v>895.99079322033913</v>
      </c>
      <c r="H374" s="58"/>
      <c r="I374" s="58"/>
      <c r="J374" s="58"/>
      <c r="K374" s="58"/>
      <c r="L374" s="57">
        <f t="shared" si="31"/>
        <v>895.99079322033913</v>
      </c>
    </row>
    <row r="375" spans="1:12" s="69" customFormat="1" ht="12.75" customHeight="1" x14ac:dyDescent="0.3">
      <c r="A375" s="78"/>
      <c r="B375" s="24" t="s">
        <v>80</v>
      </c>
      <c r="C375" s="79" t="s">
        <v>9</v>
      </c>
      <c r="D375" s="79">
        <v>1.5</v>
      </c>
      <c r="E375" s="58">
        <f>D375*E367</f>
        <v>10433.576999999999</v>
      </c>
      <c r="F375" s="58">
        <f>37/1000/1.18</f>
        <v>3.1355932203389829E-2</v>
      </c>
      <c r="G375" s="56">
        <f t="shared" si="32"/>
        <v>327.15453305084742</v>
      </c>
      <c r="H375" s="58"/>
      <c r="I375" s="58"/>
      <c r="J375" s="58"/>
      <c r="K375" s="58"/>
      <c r="L375" s="57">
        <f t="shared" si="31"/>
        <v>327.15453305084742</v>
      </c>
    </row>
    <row r="376" spans="1:12" s="69" customFormat="1" ht="12.75" customHeight="1" x14ac:dyDescent="0.3">
      <c r="A376" s="78"/>
      <c r="B376" s="24" t="s">
        <v>81</v>
      </c>
      <c r="C376" s="79" t="s">
        <v>9</v>
      </c>
      <c r="D376" s="79">
        <v>7</v>
      </c>
      <c r="E376" s="58">
        <f>D376*E367</f>
        <v>48690.025999999998</v>
      </c>
      <c r="F376" s="58">
        <f>32/1000/1.18</f>
        <v>2.7118644067796613E-2</v>
      </c>
      <c r="G376" s="56">
        <f t="shared" si="32"/>
        <v>1320.4074847457628</v>
      </c>
      <c r="H376" s="58"/>
      <c r="I376" s="58"/>
      <c r="J376" s="58"/>
      <c r="K376" s="58"/>
      <c r="L376" s="57">
        <f t="shared" si="31"/>
        <v>1320.4074847457628</v>
      </c>
    </row>
    <row r="377" spans="1:12" s="69" customFormat="1" ht="12.75" customHeight="1" x14ac:dyDescent="0.3">
      <c r="A377" s="78"/>
      <c r="B377" s="24" t="s">
        <v>82</v>
      </c>
      <c r="C377" s="79" t="s">
        <v>9</v>
      </c>
      <c r="D377" s="79">
        <v>15</v>
      </c>
      <c r="E377" s="58">
        <f>D377*E367</f>
        <v>104335.77</v>
      </c>
      <c r="F377" s="58">
        <f>37/1000/1.18</f>
        <v>3.1355932203389829E-2</v>
      </c>
      <c r="G377" s="56">
        <f t="shared" si="32"/>
        <v>3271.5453305084743</v>
      </c>
      <c r="H377" s="58"/>
      <c r="I377" s="58"/>
      <c r="J377" s="58"/>
      <c r="K377" s="58"/>
      <c r="L377" s="57">
        <f t="shared" si="31"/>
        <v>3271.5453305084743</v>
      </c>
    </row>
    <row r="378" spans="1:12" s="69" customFormat="1" ht="12.75" customHeight="1" x14ac:dyDescent="0.3">
      <c r="A378" s="78"/>
      <c r="B378" s="24" t="s">
        <v>83</v>
      </c>
      <c r="C378" s="79" t="s">
        <v>7</v>
      </c>
      <c r="D378" s="79">
        <v>0.5</v>
      </c>
      <c r="E378" s="58">
        <f>D378*E367</f>
        <v>3477.8589999999999</v>
      </c>
      <c r="F378" s="58">
        <f>23/30/1.18</f>
        <v>0.6497175141242939</v>
      </c>
      <c r="G378" s="56">
        <f t="shared" si="32"/>
        <v>2259.6259039548027</v>
      </c>
      <c r="H378" s="58"/>
      <c r="I378" s="58"/>
      <c r="J378" s="58"/>
      <c r="K378" s="58"/>
      <c r="L378" s="57">
        <f t="shared" si="31"/>
        <v>2259.6259039548027</v>
      </c>
    </row>
    <row r="379" spans="1:12" s="69" customFormat="1" ht="12.75" customHeight="1" x14ac:dyDescent="0.3">
      <c r="A379" s="78"/>
      <c r="B379" s="24" t="s">
        <v>86</v>
      </c>
      <c r="C379" s="79" t="s">
        <v>33</v>
      </c>
      <c r="D379" s="79">
        <v>1.05</v>
      </c>
      <c r="E379" s="58">
        <f>D379*E367</f>
        <v>7303.5038999999997</v>
      </c>
      <c r="F379" s="58">
        <f>16/1.18</f>
        <v>13.559322033898306</v>
      </c>
      <c r="G379" s="56">
        <f t="shared" si="32"/>
        <v>99030.561355932208</v>
      </c>
      <c r="H379" s="58"/>
      <c r="I379" s="58"/>
      <c r="J379" s="58"/>
      <c r="K379" s="58"/>
      <c r="L379" s="57">
        <f t="shared" si="31"/>
        <v>99030.561355932208</v>
      </c>
    </row>
    <row r="380" spans="1:12" s="69" customFormat="1" ht="12.75" customHeight="1" x14ac:dyDescent="0.3">
      <c r="A380" s="78"/>
      <c r="B380" s="24" t="s">
        <v>84</v>
      </c>
      <c r="C380" s="79" t="s">
        <v>7</v>
      </c>
      <c r="D380" s="79">
        <v>0.2</v>
      </c>
      <c r="E380" s="58">
        <f>D380*E367</f>
        <v>1391.1436000000001</v>
      </c>
      <c r="F380" s="58">
        <f>3.9/3/1.18</f>
        <v>1.1016949152542375</v>
      </c>
      <c r="G380" s="56">
        <f t="shared" si="32"/>
        <v>1532.615830508475</v>
      </c>
      <c r="H380" s="58"/>
      <c r="I380" s="58"/>
      <c r="J380" s="58"/>
      <c r="K380" s="58"/>
      <c r="L380" s="57">
        <f t="shared" si="31"/>
        <v>1532.615830508475</v>
      </c>
    </row>
    <row r="381" spans="1:12" s="69" customFormat="1" ht="45" customHeight="1" x14ac:dyDescent="0.3">
      <c r="A381" s="68">
        <f>A367+1</f>
        <v>11</v>
      </c>
      <c r="B381" s="74" t="s">
        <v>209</v>
      </c>
      <c r="C381" s="75" t="s">
        <v>33</v>
      </c>
      <c r="D381" s="75"/>
      <c r="E381" s="76">
        <v>360</v>
      </c>
      <c r="F381" s="76"/>
      <c r="G381" s="76"/>
      <c r="H381" s="76"/>
      <c r="I381" s="76"/>
      <c r="J381" s="76"/>
      <c r="K381" s="76"/>
      <c r="L381" s="77"/>
    </row>
    <row r="382" spans="1:12" s="69" customFormat="1" ht="12.75" customHeight="1" x14ac:dyDescent="0.3">
      <c r="A382" s="78"/>
      <c r="B382" s="24" t="s">
        <v>8</v>
      </c>
      <c r="C382" s="79" t="s">
        <v>33</v>
      </c>
      <c r="D382" s="79">
        <v>1</v>
      </c>
      <c r="E382" s="58">
        <f>E381*D382</f>
        <v>360</v>
      </c>
      <c r="F382" s="58"/>
      <c r="G382" s="56"/>
      <c r="H382" s="58">
        <f>25*1.27</f>
        <v>31.75</v>
      </c>
      <c r="I382" s="58">
        <f>E382*H382</f>
        <v>11430</v>
      </c>
      <c r="J382" s="58"/>
      <c r="K382" s="58"/>
      <c r="L382" s="57">
        <f t="shared" ref="L382:L384" si="33">G382+I382+K382</f>
        <v>11430</v>
      </c>
    </row>
    <row r="383" spans="1:12" s="69" customFormat="1" ht="12.75" customHeight="1" x14ac:dyDescent="0.3">
      <c r="A383" s="78"/>
      <c r="B383" s="24" t="s">
        <v>12</v>
      </c>
      <c r="C383" s="79"/>
      <c r="D383" s="79"/>
      <c r="E383" s="58"/>
      <c r="F383" s="58"/>
      <c r="G383" s="56"/>
      <c r="H383" s="58"/>
      <c r="I383" s="58"/>
      <c r="J383" s="58"/>
      <c r="K383" s="58"/>
      <c r="L383" s="57">
        <f t="shared" si="33"/>
        <v>0</v>
      </c>
    </row>
    <row r="384" spans="1:12" s="69" customFormat="1" ht="12.75" customHeight="1" x14ac:dyDescent="0.3">
      <c r="A384" s="78"/>
      <c r="B384" s="24" t="s">
        <v>210</v>
      </c>
      <c r="C384" s="79" t="s">
        <v>33</v>
      </c>
      <c r="D384" s="79">
        <v>1.05</v>
      </c>
      <c r="E384" s="58">
        <f>D384*E381</f>
        <v>378</v>
      </c>
      <c r="F384" s="58">
        <v>150</v>
      </c>
      <c r="G384" s="56">
        <f t="shared" ref="G384" si="34">F384*E384</f>
        <v>56700</v>
      </c>
      <c r="H384" s="58"/>
      <c r="I384" s="58"/>
      <c r="J384" s="58"/>
      <c r="K384" s="58"/>
      <c r="L384" s="57">
        <f t="shared" si="33"/>
        <v>56700</v>
      </c>
    </row>
    <row r="385" spans="1:12" s="69" customFormat="1" ht="27.6" customHeight="1" x14ac:dyDescent="0.3">
      <c r="A385" s="68">
        <f>A381+1</f>
        <v>12</v>
      </c>
      <c r="B385" s="74" t="s">
        <v>57</v>
      </c>
      <c r="C385" s="75" t="s">
        <v>33</v>
      </c>
      <c r="D385" s="75"/>
      <c r="E385" s="76">
        <f>123*11*3.1</f>
        <v>4194.3</v>
      </c>
      <c r="F385" s="56"/>
      <c r="G385" s="76"/>
      <c r="H385" s="76"/>
      <c r="I385" s="76"/>
      <c r="J385" s="76"/>
      <c r="K385" s="76"/>
      <c r="L385" s="77"/>
    </row>
    <row r="386" spans="1:12" s="69" customFormat="1" ht="15" customHeight="1" x14ac:dyDescent="0.3">
      <c r="A386" s="78"/>
      <c r="B386" s="24" t="s">
        <v>8</v>
      </c>
      <c r="C386" s="79" t="s">
        <v>51</v>
      </c>
      <c r="D386" s="58">
        <v>1</v>
      </c>
      <c r="E386" s="91">
        <f>E385*D386</f>
        <v>4194.3</v>
      </c>
      <c r="F386" s="56"/>
      <c r="G386" s="58"/>
      <c r="H386" s="58">
        <f>8/0.8/0.98</f>
        <v>10.204081632653061</v>
      </c>
      <c r="I386" s="58">
        <f>E386*H386</f>
        <v>42798.979591836738</v>
      </c>
      <c r="J386" s="58"/>
      <c r="K386" s="56"/>
      <c r="L386" s="57">
        <f t="shared" ref="L386:L393" si="35">G386+I386+K386</f>
        <v>42798.979591836738</v>
      </c>
    </row>
    <row r="387" spans="1:12" s="69" customFormat="1" ht="13.95" customHeight="1" x14ac:dyDescent="0.3">
      <c r="A387" s="78"/>
      <c r="B387" s="24" t="s">
        <v>52</v>
      </c>
      <c r="C387" s="79" t="s">
        <v>11</v>
      </c>
      <c r="D387" s="58">
        <f>3/100</f>
        <v>0.03</v>
      </c>
      <c r="E387" s="91">
        <f>D387*E385</f>
        <v>125.82900000000001</v>
      </c>
      <c r="F387" s="56"/>
      <c r="G387" s="58"/>
      <c r="H387" s="58"/>
      <c r="I387" s="58"/>
      <c r="J387" s="58">
        <f>9.2</f>
        <v>9.1999999999999993</v>
      </c>
      <c r="K387" s="56">
        <f>E387*J387</f>
        <v>1157.6268</v>
      </c>
      <c r="L387" s="57">
        <f t="shared" si="35"/>
        <v>1157.6268</v>
      </c>
    </row>
    <row r="388" spans="1:12" s="69" customFormat="1" ht="13.95" customHeight="1" x14ac:dyDescent="0.3">
      <c r="A388" s="78"/>
      <c r="B388" s="24" t="s">
        <v>12</v>
      </c>
      <c r="C388" s="79"/>
      <c r="D388" s="58"/>
      <c r="E388" s="91"/>
      <c r="F388" s="56"/>
      <c r="G388" s="58"/>
      <c r="H388" s="58"/>
      <c r="I388" s="58"/>
      <c r="J388" s="58"/>
      <c r="K388" s="56"/>
      <c r="L388" s="57">
        <f t="shared" si="35"/>
        <v>0</v>
      </c>
    </row>
    <row r="389" spans="1:12" s="69" customFormat="1" ht="13.95" customHeight="1" x14ac:dyDescent="0.3">
      <c r="A389" s="78"/>
      <c r="B389" s="24" t="s">
        <v>29</v>
      </c>
      <c r="C389" s="79" t="s">
        <v>27</v>
      </c>
      <c r="D389" s="58">
        <f>0.582/100</f>
        <v>5.8199999999999997E-3</v>
      </c>
      <c r="E389" s="91">
        <f>D389*E385</f>
        <v>24.410826</v>
      </c>
      <c r="F389" s="56">
        <v>4</v>
      </c>
      <c r="G389" s="56">
        <f>F389*E389</f>
        <v>97.643304000000001</v>
      </c>
      <c r="H389" s="58"/>
      <c r="I389" s="58"/>
      <c r="J389" s="58"/>
      <c r="K389" s="56"/>
      <c r="L389" s="57">
        <f t="shared" si="35"/>
        <v>97.643304000000001</v>
      </c>
    </row>
    <row r="390" spans="1:12" s="69" customFormat="1" ht="13.95" customHeight="1" x14ac:dyDescent="0.3">
      <c r="A390" s="78"/>
      <c r="B390" s="24" t="s">
        <v>53</v>
      </c>
      <c r="C390" s="79" t="s">
        <v>33</v>
      </c>
      <c r="D390" s="58">
        <f>6/100</f>
        <v>0.06</v>
      </c>
      <c r="E390" s="91">
        <f>D390*E385</f>
        <v>251.65800000000002</v>
      </c>
      <c r="F390" s="56">
        <f>2.7/1.18</f>
        <v>2.2881355932203391</v>
      </c>
      <c r="G390" s="56">
        <f>F390*E390</f>
        <v>575.82762711864416</v>
      </c>
      <c r="H390" s="58"/>
      <c r="I390" s="58"/>
      <c r="J390" s="58"/>
      <c r="K390" s="56"/>
      <c r="L390" s="57">
        <f t="shared" si="35"/>
        <v>575.82762711864416</v>
      </c>
    </row>
    <row r="391" spans="1:12" s="69" customFormat="1" ht="13.95" customHeight="1" x14ac:dyDescent="0.3">
      <c r="A391" s="78"/>
      <c r="B391" s="24" t="s">
        <v>54</v>
      </c>
      <c r="C391" s="79" t="s">
        <v>7</v>
      </c>
      <c r="D391" s="58">
        <f>20/100</f>
        <v>0.2</v>
      </c>
      <c r="E391" s="91">
        <f>D391*E385</f>
        <v>838.86000000000013</v>
      </c>
      <c r="F391" s="56">
        <f>2.5/3/1.18</f>
        <v>0.70621468926553677</v>
      </c>
      <c r="G391" s="56">
        <f>F391*E391</f>
        <v>592.41525423728831</v>
      </c>
      <c r="H391" s="58"/>
      <c r="I391" s="58"/>
      <c r="J391" s="58"/>
      <c r="K391" s="56"/>
      <c r="L391" s="57">
        <f t="shared" si="35"/>
        <v>592.41525423728831</v>
      </c>
    </row>
    <row r="392" spans="1:12" s="69" customFormat="1" ht="27.6" customHeight="1" x14ac:dyDescent="0.3">
      <c r="A392" s="78"/>
      <c r="B392" s="24" t="s">
        <v>55</v>
      </c>
      <c r="C392" s="79" t="s">
        <v>13</v>
      </c>
      <c r="D392" s="58">
        <f>10/100</f>
        <v>0.1</v>
      </c>
      <c r="E392" s="91">
        <f>D392*E385</f>
        <v>419.43000000000006</v>
      </c>
      <c r="F392" s="56">
        <f>130/20/1.18</f>
        <v>5.5084745762711869</v>
      </c>
      <c r="G392" s="56">
        <f>E392*F392</f>
        <v>2310.4194915254243</v>
      </c>
      <c r="H392" s="58"/>
      <c r="I392" s="58"/>
      <c r="J392" s="58"/>
      <c r="K392" s="56"/>
      <c r="L392" s="57">
        <f t="shared" si="35"/>
        <v>2310.4194915254243</v>
      </c>
    </row>
    <row r="393" spans="1:12" s="69" customFormat="1" ht="27.6" customHeight="1" x14ac:dyDescent="0.3">
      <c r="A393" s="78"/>
      <c r="B393" s="55" t="s">
        <v>56</v>
      </c>
      <c r="C393" s="79" t="s">
        <v>13</v>
      </c>
      <c r="D393" s="58">
        <v>20</v>
      </c>
      <c r="E393" s="91">
        <f>D393*E385</f>
        <v>83886</v>
      </c>
      <c r="F393" s="56">
        <f>12.56/25/1.18</f>
        <v>0.42576271186440684</v>
      </c>
      <c r="G393" s="56">
        <f>E393*F393</f>
        <v>35715.53084745763</v>
      </c>
      <c r="H393" s="58"/>
      <c r="I393" s="58"/>
      <c r="J393" s="58"/>
      <c r="K393" s="56"/>
      <c r="L393" s="57">
        <f t="shared" si="35"/>
        <v>35715.53084745763</v>
      </c>
    </row>
    <row r="394" spans="1:12" s="69" customFormat="1" ht="27.6" customHeight="1" x14ac:dyDescent="0.3">
      <c r="A394" s="68">
        <f>A385+1</f>
        <v>13</v>
      </c>
      <c r="B394" s="74" t="s">
        <v>87</v>
      </c>
      <c r="C394" s="75" t="s">
        <v>33</v>
      </c>
      <c r="D394" s="75"/>
      <c r="E394" s="76">
        <f>123*3.1*11*2</f>
        <v>8388.6</v>
      </c>
      <c r="F394" s="56"/>
      <c r="G394" s="76"/>
      <c r="H394" s="76"/>
      <c r="I394" s="76"/>
      <c r="J394" s="76"/>
      <c r="K394" s="76"/>
      <c r="L394" s="77"/>
    </row>
    <row r="395" spans="1:12" s="69" customFormat="1" ht="15" customHeight="1" x14ac:dyDescent="0.3">
      <c r="A395" s="78"/>
      <c r="B395" s="24" t="s">
        <v>8</v>
      </c>
      <c r="C395" s="79" t="s">
        <v>51</v>
      </c>
      <c r="D395" s="58">
        <v>1</v>
      </c>
      <c r="E395" s="91">
        <f>E394*D395</f>
        <v>8388.6</v>
      </c>
      <c r="F395" s="56"/>
      <c r="G395" s="58"/>
      <c r="H395" s="58">
        <f>8/0.8/0.98</f>
        <v>10.204081632653061</v>
      </c>
      <c r="I395" s="58">
        <f>E395*H395</f>
        <v>85597.959183673476</v>
      </c>
      <c r="J395" s="58"/>
      <c r="K395" s="56"/>
      <c r="L395" s="57">
        <f t="shared" ref="L395:L402" si="36">G395+I395+K395</f>
        <v>85597.959183673476</v>
      </c>
    </row>
    <row r="396" spans="1:12" s="69" customFormat="1" ht="24.75" customHeight="1" x14ac:dyDescent="0.3">
      <c r="A396" s="78"/>
      <c r="B396" s="24" t="s">
        <v>52</v>
      </c>
      <c r="C396" s="79" t="s">
        <v>11</v>
      </c>
      <c r="D396" s="58">
        <f>3/100</f>
        <v>0.03</v>
      </c>
      <c r="E396" s="91">
        <f>D396*E394</f>
        <v>251.65800000000002</v>
      </c>
      <c r="F396" s="56"/>
      <c r="G396" s="58"/>
      <c r="H396" s="58"/>
      <c r="I396" s="58"/>
      <c r="J396" s="58">
        <f>9.2</f>
        <v>9.1999999999999993</v>
      </c>
      <c r="K396" s="56">
        <f>E396*J396</f>
        <v>2315.2536</v>
      </c>
      <c r="L396" s="57">
        <f t="shared" si="36"/>
        <v>2315.2536</v>
      </c>
    </row>
    <row r="397" spans="1:12" s="69" customFormat="1" ht="13.95" customHeight="1" x14ac:dyDescent="0.3">
      <c r="A397" s="78"/>
      <c r="B397" s="24" t="s">
        <v>12</v>
      </c>
      <c r="C397" s="79"/>
      <c r="D397" s="58"/>
      <c r="E397" s="91"/>
      <c r="F397" s="56"/>
      <c r="G397" s="58"/>
      <c r="H397" s="58"/>
      <c r="I397" s="58"/>
      <c r="J397" s="58"/>
      <c r="K397" s="56"/>
      <c r="L397" s="57">
        <f t="shared" si="36"/>
        <v>0</v>
      </c>
    </row>
    <row r="398" spans="1:12" s="69" customFormat="1" ht="13.95" customHeight="1" x14ac:dyDescent="0.3">
      <c r="A398" s="78"/>
      <c r="B398" s="24" t="s">
        <v>29</v>
      </c>
      <c r="C398" s="79" t="s">
        <v>27</v>
      </c>
      <c r="D398" s="58">
        <f>0.582/100</f>
        <v>5.8199999999999997E-3</v>
      </c>
      <c r="E398" s="91">
        <f>D398*E394</f>
        <v>48.821652</v>
      </c>
      <c r="F398" s="56">
        <v>4</v>
      </c>
      <c r="G398" s="56">
        <f>F398*E398</f>
        <v>195.286608</v>
      </c>
      <c r="H398" s="58"/>
      <c r="I398" s="58"/>
      <c r="J398" s="58"/>
      <c r="K398" s="56"/>
      <c r="L398" s="57">
        <f t="shared" si="36"/>
        <v>195.286608</v>
      </c>
    </row>
    <row r="399" spans="1:12" s="69" customFormat="1" ht="13.95" customHeight="1" x14ac:dyDescent="0.3">
      <c r="A399" s="78"/>
      <c r="B399" s="24" t="s">
        <v>53</v>
      </c>
      <c r="C399" s="79" t="s">
        <v>33</v>
      </c>
      <c r="D399" s="58">
        <f>6/100</f>
        <v>0.06</v>
      </c>
      <c r="E399" s="91">
        <f>D399*E394</f>
        <v>503.31600000000003</v>
      </c>
      <c r="F399" s="56">
        <f>2.7/1.18</f>
        <v>2.2881355932203391</v>
      </c>
      <c r="G399" s="56">
        <f>F399*E399</f>
        <v>1151.6552542372883</v>
      </c>
      <c r="H399" s="58"/>
      <c r="I399" s="58"/>
      <c r="J399" s="58"/>
      <c r="K399" s="56"/>
      <c r="L399" s="57">
        <f t="shared" si="36"/>
        <v>1151.6552542372883</v>
      </c>
    </row>
    <row r="400" spans="1:12" s="69" customFormat="1" ht="13.95" customHeight="1" x14ac:dyDescent="0.3">
      <c r="A400" s="78"/>
      <c r="B400" s="24" t="s">
        <v>54</v>
      </c>
      <c r="C400" s="79" t="s">
        <v>7</v>
      </c>
      <c r="D400" s="58">
        <f>20/100</f>
        <v>0.2</v>
      </c>
      <c r="E400" s="91">
        <f>D400*E394</f>
        <v>1677.7200000000003</v>
      </c>
      <c r="F400" s="56">
        <f>2.5/3/1.18</f>
        <v>0.70621468926553677</v>
      </c>
      <c r="G400" s="56">
        <f>F400*E400</f>
        <v>1184.8305084745766</v>
      </c>
      <c r="H400" s="58"/>
      <c r="I400" s="58"/>
      <c r="J400" s="58"/>
      <c r="K400" s="56"/>
      <c r="L400" s="57">
        <f t="shared" si="36"/>
        <v>1184.8305084745766</v>
      </c>
    </row>
    <row r="401" spans="1:19" s="69" customFormat="1" ht="27.6" customHeight="1" x14ac:dyDescent="0.3">
      <c r="A401" s="78"/>
      <c r="B401" s="24" t="s">
        <v>55</v>
      </c>
      <c r="C401" s="79" t="s">
        <v>13</v>
      </c>
      <c r="D401" s="58">
        <f>10/100</f>
        <v>0.1</v>
      </c>
      <c r="E401" s="91">
        <f>D401*E394</f>
        <v>838.86000000000013</v>
      </c>
      <c r="F401" s="56">
        <f>130/20/1.18</f>
        <v>5.5084745762711869</v>
      </c>
      <c r="G401" s="56">
        <f>E401*F401</f>
        <v>4620.8389830508486</v>
      </c>
      <c r="H401" s="58"/>
      <c r="I401" s="58"/>
      <c r="J401" s="58"/>
      <c r="K401" s="56"/>
      <c r="L401" s="57">
        <f t="shared" si="36"/>
        <v>4620.8389830508486</v>
      </c>
    </row>
    <row r="402" spans="1:19" s="69" customFormat="1" ht="27.6" customHeight="1" x14ac:dyDescent="0.3">
      <c r="A402" s="78"/>
      <c r="B402" s="55" t="s">
        <v>56</v>
      </c>
      <c r="C402" s="79" t="s">
        <v>13</v>
      </c>
      <c r="D402" s="58">
        <v>20</v>
      </c>
      <c r="E402" s="91">
        <f>D402*E394</f>
        <v>167772</v>
      </c>
      <c r="F402" s="56">
        <f>12.56/25/1.18</f>
        <v>0.42576271186440684</v>
      </c>
      <c r="G402" s="56">
        <f>E402*F402</f>
        <v>71431.061694915261</v>
      </c>
      <c r="H402" s="58"/>
      <c r="I402" s="58"/>
      <c r="J402" s="58"/>
      <c r="K402" s="56"/>
      <c r="L402" s="57">
        <f t="shared" si="36"/>
        <v>71431.061694915261</v>
      </c>
    </row>
    <row r="403" spans="1:19" s="69" customFormat="1" ht="27.6" customHeight="1" x14ac:dyDescent="0.3">
      <c r="A403" s="80">
        <f>A394+1</f>
        <v>14</v>
      </c>
      <c r="B403" s="17" t="s">
        <v>50</v>
      </c>
      <c r="C403" s="75" t="s">
        <v>33</v>
      </c>
      <c r="D403" s="75"/>
      <c r="E403" s="81">
        <f>(48.6*3.2-2.3*1*7)*11</f>
        <v>1533.6200000000001</v>
      </c>
      <c r="F403" s="81"/>
      <c r="G403" s="81"/>
      <c r="H403" s="81"/>
      <c r="I403" s="81"/>
      <c r="J403" s="81"/>
      <c r="K403" s="81"/>
      <c r="L403" s="82"/>
    </row>
    <row r="404" spans="1:19" s="83" customFormat="1" ht="13.95" customHeight="1" x14ac:dyDescent="0.3">
      <c r="A404" s="84"/>
      <c r="B404" s="24" t="s">
        <v>8</v>
      </c>
      <c r="C404" s="79" t="s">
        <v>33</v>
      </c>
      <c r="D404" s="79"/>
      <c r="E404" s="58">
        <f>E403</f>
        <v>1533.6200000000001</v>
      </c>
      <c r="F404" s="58"/>
      <c r="G404" s="58"/>
      <c r="H404" s="58">
        <f>25/0.8/0.98</f>
        <v>31.887755102040817</v>
      </c>
      <c r="I404" s="58">
        <f>H404*E404</f>
        <v>48903.698979591842</v>
      </c>
      <c r="J404" s="58"/>
      <c r="K404" s="58"/>
      <c r="L404" s="57">
        <f t="shared" ref="L404:L411" si="37">K404+I404+G404</f>
        <v>48903.698979591842</v>
      </c>
    </row>
    <row r="405" spans="1:19" s="83" customFormat="1" ht="13.95" customHeight="1" x14ac:dyDescent="0.3">
      <c r="A405" s="84"/>
      <c r="B405" s="24" t="s">
        <v>12</v>
      </c>
      <c r="C405" s="79"/>
      <c r="D405" s="79"/>
      <c r="E405" s="58"/>
      <c r="F405" s="58"/>
      <c r="G405" s="58"/>
      <c r="H405" s="58"/>
      <c r="I405" s="58"/>
      <c r="J405" s="58"/>
      <c r="K405" s="58"/>
      <c r="L405" s="57">
        <f t="shared" si="37"/>
        <v>0</v>
      </c>
    </row>
    <row r="406" spans="1:19" s="85" customFormat="1" ht="14.4" customHeight="1" x14ac:dyDescent="0.3">
      <c r="A406" s="84"/>
      <c r="B406" s="24" t="s">
        <v>42</v>
      </c>
      <c r="C406" s="79" t="s">
        <v>43</v>
      </c>
      <c r="D406" s="79">
        <v>0.15</v>
      </c>
      <c r="E406" s="58">
        <f>E403*0.15</f>
        <v>230.04300000000001</v>
      </c>
      <c r="F406" s="58">
        <v>4.3855932203389827</v>
      </c>
      <c r="G406" s="58">
        <f t="shared" ref="G406:G411" si="38">F406*E406</f>
        <v>1008.8750211864407</v>
      </c>
      <c r="H406" s="58"/>
      <c r="I406" s="58"/>
      <c r="J406" s="58"/>
      <c r="K406" s="58"/>
      <c r="L406" s="57">
        <f t="shared" si="37"/>
        <v>1008.8750211864407</v>
      </c>
    </row>
    <row r="407" spans="1:19" s="85" customFormat="1" ht="14.4" customHeight="1" x14ac:dyDescent="0.3">
      <c r="A407" s="84"/>
      <c r="B407" s="24" t="s">
        <v>44</v>
      </c>
      <c r="C407" s="79" t="s">
        <v>13</v>
      </c>
      <c r="D407" s="79">
        <v>7.5</v>
      </c>
      <c r="E407" s="58">
        <f>E403*7.5</f>
        <v>11502.150000000001</v>
      </c>
      <c r="F407" s="58">
        <v>0.77966101694915257</v>
      </c>
      <c r="G407" s="58">
        <f t="shared" si="38"/>
        <v>8967.7779661016957</v>
      </c>
      <c r="H407" s="58"/>
      <c r="I407" s="58"/>
      <c r="J407" s="58"/>
      <c r="K407" s="58"/>
      <c r="L407" s="57">
        <f t="shared" si="37"/>
        <v>8967.7779661016957</v>
      </c>
    </row>
    <row r="408" spans="1:19" s="85" customFormat="1" ht="14.4" customHeight="1" x14ac:dyDescent="0.3">
      <c r="A408" s="84"/>
      <c r="B408" s="24" t="s">
        <v>45</v>
      </c>
      <c r="C408" s="79" t="s">
        <v>28</v>
      </c>
      <c r="D408" s="79">
        <v>0.3</v>
      </c>
      <c r="E408" s="58">
        <f>E403*0.3</f>
        <v>460.08600000000001</v>
      </c>
      <c r="F408" s="58">
        <v>5.8419999999999996</v>
      </c>
      <c r="G408" s="58">
        <f t="shared" si="38"/>
        <v>2687.822412</v>
      </c>
      <c r="H408" s="58"/>
      <c r="I408" s="58"/>
      <c r="J408" s="58"/>
      <c r="K408" s="58"/>
      <c r="L408" s="57">
        <f t="shared" si="37"/>
        <v>2687.822412</v>
      </c>
    </row>
    <row r="409" spans="1:19" s="85" customFormat="1" ht="14.4" customHeight="1" x14ac:dyDescent="0.3">
      <c r="A409" s="84"/>
      <c r="B409" s="24" t="s">
        <v>46</v>
      </c>
      <c r="C409" s="79" t="s">
        <v>30</v>
      </c>
      <c r="D409" s="79">
        <v>1.1000000000000001</v>
      </c>
      <c r="E409" s="58">
        <f>E403*1.1</f>
        <v>1686.9820000000002</v>
      </c>
      <c r="F409" s="58">
        <v>0.81355932203389836</v>
      </c>
      <c r="G409" s="56">
        <f t="shared" si="38"/>
        <v>1372.4599322033901</v>
      </c>
      <c r="H409" s="58"/>
      <c r="I409" s="58"/>
      <c r="J409" s="58"/>
      <c r="K409" s="58"/>
      <c r="L409" s="57">
        <f t="shared" si="37"/>
        <v>1372.4599322033901</v>
      </c>
    </row>
    <row r="410" spans="1:19" s="85" customFormat="1" ht="14.4" customHeight="1" x14ac:dyDescent="0.3">
      <c r="A410" s="84"/>
      <c r="B410" s="24" t="s">
        <v>47</v>
      </c>
      <c r="C410" s="79" t="s">
        <v>13</v>
      </c>
      <c r="D410" s="79">
        <v>0.25</v>
      </c>
      <c r="E410" s="58">
        <f>E403*0.25</f>
        <v>383.40500000000003</v>
      </c>
      <c r="F410" s="58">
        <v>5.360169491525423</v>
      </c>
      <c r="G410" s="58">
        <f t="shared" si="38"/>
        <v>2055.1157838983049</v>
      </c>
      <c r="H410" s="58"/>
      <c r="I410" s="58"/>
      <c r="J410" s="58"/>
      <c r="K410" s="58"/>
      <c r="L410" s="57">
        <f t="shared" si="37"/>
        <v>2055.1157838983049</v>
      </c>
    </row>
    <row r="411" spans="1:19" s="85" customFormat="1" ht="14.4" customHeight="1" x14ac:dyDescent="0.3">
      <c r="A411" s="84"/>
      <c r="B411" s="24" t="s">
        <v>48</v>
      </c>
      <c r="C411" s="79" t="s">
        <v>13</v>
      </c>
      <c r="D411" s="79">
        <v>4</v>
      </c>
      <c r="E411" s="58">
        <f>E403*4</f>
        <v>6134.4800000000005</v>
      </c>
      <c r="F411" s="58">
        <v>1.1694915254237286</v>
      </c>
      <c r="G411" s="58">
        <f t="shared" si="38"/>
        <v>7174.2223728813551</v>
      </c>
      <c r="H411" s="58"/>
      <c r="I411" s="58"/>
      <c r="J411" s="58"/>
      <c r="K411" s="58"/>
      <c r="L411" s="57">
        <f t="shared" si="37"/>
        <v>7174.2223728813551</v>
      </c>
    </row>
    <row r="412" spans="1:19" s="86" customFormat="1" ht="13.95" customHeight="1" x14ac:dyDescent="0.25">
      <c r="A412" s="84"/>
      <c r="B412" s="24" t="s">
        <v>49</v>
      </c>
      <c r="C412" s="79" t="s">
        <v>13</v>
      </c>
      <c r="D412" s="79">
        <v>0.45</v>
      </c>
      <c r="E412" s="58">
        <f>E403*D412</f>
        <v>690.12900000000002</v>
      </c>
      <c r="F412" s="58">
        <v>10.72</v>
      </c>
      <c r="G412" s="58">
        <f>E412*F412</f>
        <v>7398.1828800000003</v>
      </c>
      <c r="H412" s="58"/>
      <c r="I412" s="58"/>
      <c r="J412" s="58"/>
      <c r="K412" s="58"/>
      <c r="L412" s="57">
        <f>G412+I412+K412</f>
        <v>7398.1828800000003</v>
      </c>
      <c r="M412" s="87"/>
      <c r="N412" s="87"/>
      <c r="O412" s="87"/>
      <c r="P412" s="87"/>
      <c r="Q412" s="87"/>
      <c r="R412" s="87"/>
      <c r="S412" s="87"/>
    </row>
    <row r="413" spans="1:19" s="86" customFormat="1" ht="13.95" customHeight="1" x14ac:dyDescent="0.25">
      <c r="A413" s="84"/>
      <c r="B413" s="24" t="s">
        <v>14</v>
      </c>
      <c r="C413" s="79" t="s">
        <v>15</v>
      </c>
      <c r="D413" s="79">
        <v>1.2999999999999999E-3</v>
      </c>
      <c r="E413" s="58">
        <f>E411*D413</f>
        <v>7.9748239999999999</v>
      </c>
      <c r="F413" s="58">
        <v>3.2</v>
      </c>
      <c r="G413" s="56">
        <f>E413*F413</f>
        <v>25.519436800000001</v>
      </c>
      <c r="H413" s="58"/>
      <c r="I413" s="58"/>
      <c r="J413" s="58"/>
      <c r="K413" s="58"/>
      <c r="L413" s="57">
        <f>G413+I413+K413</f>
        <v>25.519436800000001</v>
      </c>
      <c r="M413" s="87"/>
      <c r="N413" s="87"/>
      <c r="O413" s="87"/>
      <c r="P413" s="87"/>
      <c r="Q413" s="87"/>
      <c r="R413" s="87"/>
      <c r="S413" s="87"/>
    </row>
    <row r="414" spans="1:19" s="69" customFormat="1" ht="13.95" customHeight="1" x14ac:dyDescent="0.3">
      <c r="A414" s="68">
        <f>A403+1</f>
        <v>15</v>
      </c>
      <c r="B414" s="74" t="s">
        <v>88</v>
      </c>
      <c r="C414" s="75" t="s">
        <v>33</v>
      </c>
      <c r="D414" s="75"/>
      <c r="E414" s="76">
        <f>11*1.1*11</f>
        <v>133.10000000000002</v>
      </c>
      <c r="F414" s="56"/>
      <c r="G414" s="76"/>
      <c r="H414" s="76"/>
      <c r="I414" s="76"/>
      <c r="J414" s="76"/>
      <c r="K414" s="76"/>
      <c r="L414" s="77"/>
    </row>
    <row r="415" spans="1:19" s="69" customFormat="1" ht="13.95" customHeight="1" x14ac:dyDescent="0.3">
      <c r="A415" s="78"/>
      <c r="B415" s="24" t="s">
        <v>8</v>
      </c>
      <c r="C415" s="79" t="s">
        <v>33</v>
      </c>
      <c r="D415" s="79">
        <v>1</v>
      </c>
      <c r="E415" s="58">
        <f>E414*D415</f>
        <v>133.10000000000002</v>
      </c>
      <c r="F415" s="56"/>
      <c r="G415" s="56"/>
      <c r="H415" s="58">
        <f>30/0.8/0.98</f>
        <v>38.265306122448983</v>
      </c>
      <c r="I415" s="58">
        <f>H415*E415</f>
        <v>5093.1122448979604</v>
      </c>
      <c r="J415" s="58"/>
      <c r="K415" s="58"/>
      <c r="L415" s="57">
        <f>K415+I415+G415</f>
        <v>5093.1122448979604</v>
      </c>
    </row>
    <row r="416" spans="1:19" s="69" customFormat="1" ht="13.95" customHeight="1" x14ac:dyDescent="0.3">
      <c r="A416" s="78"/>
      <c r="B416" s="24" t="s">
        <v>12</v>
      </c>
      <c r="C416" s="79"/>
      <c r="D416" s="79"/>
      <c r="E416" s="58"/>
      <c r="F416" s="56"/>
      <c r="G416" s="56"/>
      <c r="H416" s="58"/>
      <c r="I416" s="58"/>
      <c r="J416" s="58"/>
      <c r="K416" s="58"/>
      <c r="L416" s="57">
        <f>K416+I416+G416</f>
        <v>0</v>
      </c>
    </row>
    <row r="417" spans="1:12" s="69" customFormat="1" ht="13.95" customHeight="1" x14ac:dyDescent="0.3">
      <c r="A417" s="78"/>
      <c r="B417" s="24" t="s">
        <v>89</v>
      </c>
      <c r="C417" s="79" t="s">
        <v>33</v>
      </c>
      <c r="D417" s="79">
        <v>1</v>
      </c>
      <c r="E417" s="58">
        <f>D417*E414</f>
        <v>133.10000000000002</v>
      </c>
      <c r="F417" s="56">
        <f>150/1.18</f>
        <v>127.11864406779662</v>
      </c>
      <c r="G417" s="56">
        <f>F417*E417</f>
        <v>16919.491525423735</v>
      </c>
      <c r="H417" s="58"/>
      <c r="I417" s="58"/>
      <c r="J417" s="58"/>
      <c r="K417" s="58"/>
      <c r="L417" s="57">
        <f>K417+I417+G417</f>
        <v>16919.491525423735</v>
      </c>
    </row>
    <row r="418" spans="1:12" s="69" customFormat="1" ht="13.95" customHeight="1" x14ac:dyDescent="0.3">
      <c r="A418" s="68">
        <f>A414+1</f>
        <v>16</v>
      </c>
      <c r="B418" s="74" t="s">
        <v>90</v>
      </c>
      <c r="C418" s="75" t="s">
        <v>33</v>
      </c>
      <c r="D418" s="75"/>
      <c r="E418" s="76">
        <f>14*11</f>
        <v>154</v>
      </c>
      <c r="F418" s="56"/>
      <c r="G418" s="76"/>
      <c r="H418" s="76"/>
      <c r="I418" s="76"/>
      <c r="J418" s="76"/>
      <c r="K418" s="76"/>
      <c r="L418" s="77"/>
    </row>
    <row r="419" spans="1:12" s="69" customFormat="1" ht="13.95" customHeight="1" x14ac:dyDescent="0.3">
      <c r="A419" s="78"/>
      <c r="B419" s="24" t="s">
        <v>8</v>
      </c>
      <c r="C419" s="79" t="s">
        <v>33</v>
      </c>
      <c r="D419" s="79">
        <v>1</v>
      </c>
      <c r="E419" s="58">
        <f>E418*D419</f>
        <v>154</v>
      </c>
      <c r="F419" s="56"/>
      <c r="G419" s="56"/>
      <c r="H419" s="58">
        <f>25/0.8/0.98</f>
        <v>31.887755102040817</v>
      </c>
      <c r="I419" s="58">
        <f>H419*E419</f>
        <v>4910.7142857142862</v>
      </c>
      <c r="J419" s="58"/>
      <c r="K419" s="58"/>
      <c r="L419" s="57">
        <f>K419+I419+G419</f>
        <v>4910.7142857142862</v>
      </c>
    </row>
    <row r="420" spans="1:12" s="69" customFormat="1" ht="13.95" customHeight="1" x14ac:dyDescent="0.3">
      <c r="A420" s="78"/>
      <c r="B420" s="24" t="s">
        <v>12</v>
      </c>
      <c r="C420" s="79"/>
      <c r="D420" s="79"/>
      <c r="E420" s="58"/>
      <c r="F420" s="56"/>
      <c r="G420" s="56"/>
      <c r="H420" s="58"/>
      <c r="I420" s="58"/>
      <c r="J420" s="58"/>
      <c r="K420" s="58"/>
      <c r="L420" s="57">
        <f>K420+I420+G420</f>
        <v>0</v>
      </c>
    </row>
    <row r="421" spans="1:12" s="69" customFormat="1" ht="13.95" customHeight="1" x14ac:dyDescent="0.3">
      <c r="A421" s="78"/>
      <c r="B421" s="24" t="s">
        <v>91</v>
      </c>
      <c r="C421" s="79" t="s">
        <v>33</v>
      </c>
      <c r="D421" s="79">
        <v>1</v>
      </c>
      <c r="E421" s="58">
        <f>D421*E418</f>
        <v>154</v>
      </c>
      <c r="F421" s="56">
        <f>90/1.18</f>
        <v>76.271186440677965</v>
      </c>
      <c r="G421" s="56">
        <f>F421*E421</f>
        <v>11745.762711864407</v>
      </c>
      <c r="H421" s="58"/>
      <c r="I421" s="58"/>
      <c r="J421" s="58"/>
      <c r="K421" s="58"/>
      <c r="L421" s="57">
        <f>K421+I421+G421</f>
        <v>11745.762711864407</v>
      </c>
    </row>
    <row r="422" spans="1:12" s="69" customFormat="1" ht="27.6" customHeight="1" x14ac:dyDescent="0.3">
      <c r="A422" s="68">
        <v>17</v>
      </c>
      <c r="B422" s="74" t="s">
        <v>92</v>
      </c>
      <c r="C422" s="75" t="s">
        <v>9</v>
      </c>
      <c r="D422" s="75"/>
      <c r="E422" s="76">
        <v>75</v>
      </c>
      <c r="F422" s="56"/>
      <c r="G422" s="76"/>
      <c r="H422" s="76"/>
      <c r="I422" s="76"/>
      <c r="J422" s="76"/>
      <c r="K422" s="76"/>
      <c r="L422" s="77"/>
    </row>
    <row r="423" spans="1:12" s="69" customFormat="1" x14ac:dyDescent="0.3">
      <c r="A423" s="78"/>
      <c r="B423" s="24" t="s">
        <v>8</v>
      </c>
      <c r="C423" s="79" t="s">
        <v>9</v>
      </c>
      <c r="D423" s="79">
        <v>1</v>
      </c>
      <c r="E423" s="58">
        <f>E422*D423</f>
        <v>75</v>
      </c>
      <c r="F423" s="56"/>
      <c r="G423" s="56"/>
      <c r="H423" s="58">
        <f>150/0.8/0.98</f>
        <v>191.32653061224491</v>
      </c>
      <c r="I423" s="58">
        <f>H423*E423</f>
        <v>14349.489795918369</v>
      </c>
      <c r="J423" s="58"/>
      <c r="K423" s="58"/>
      <c r="L423" s="57">
        <f>K423+I423+G423</f>
        <v>14349.489795918369</v>
      </c>
    </row>
    <row r="424" spans="1:12" s="69" customFormat="1" ht="13.95" customHeight="1" x14ac:dyDescent="0.3">
      <c r="A424" s="78"/>
      <c r="B424" s="24" t="s">
        <v>12</v>
      </c>
      <c r="C424" s="79"/>
      <c r="D424" s="79"/>
      <c r="E424" s="58"/>
      <c r="F424" s="56"/>
      <c r="G424" s="56"/>
      <c r="H424" s="58"/>
      <c r="I424" s="58"/>
      <c r="J424" s="58"/>
      <c r="K424" s="58"/>
      <c r="L424" s="57">
        <f>K424+I424+G424</f>
        <v>0</v>
      </c>
    </row>
    <row r="425" spans="1:12" s="69" customFormat="1" ht="13.95" customHeight="1" x14ac:dyDescent="0.3">
      <c r="A425" s="78"/>
      <c r="B425" s="24" t="s">
        <v>93</v>
      </c>
      <c r="C425" s="79" t="s">
        <v>9</v>
      </c>
      <c r="D425" s="79">
        <v>1</v>
      </c>
      <c r="E425" s="58">
        <f>D425*E422</f>
        <v>75</v>
      </c>
      <c r="F425" s="56">
        <v>1063.56</v>
      </c>
      <c r="G425" s="56">
        <f>F425*E425</f>
        <v>79767</v>
      </c>
      <c r="H425" s="58"/>
      <c r="I425" s="58"/>
      <c r="J425" s="58"/>
      <c r="K425" s="58"/>
      <c r="L425" s="57">
        <f>K425+I425+G425</f>
        <v>79767</v>
      </c>
    </row>
    <row r="426" spans="1:12" s="69" customFormat="1" ht="27.6" customHeight="1" x14ac:dyDescent="0.3">
      <c r="A426" s="68">
        <f>A422+1</f>
        <v>18</v>
      </c>
      <c r="B426" s="74" t="s">
        <v>94</v>
      </c>
      <c r="C426" s="75" t="s">
        <v>9</v>
      </c>
      <c r="D426" s="75"/>
      <c r="E426" s="76">
        <v>55</v>
      </c>
      <c r="F426" s="56"/>
      <c r="G426" s="76"/>
      <c r="H426" s="76"/>
      <c r="I426" s="76"/>
      <c r="J426" s="76"/>
      <c r="K426" s="76"/>
      <c r="L426" s="77"/>
    </row>
    <row r="427" spans="1:12" s="69" customFormat="1" x14ac:dyDescent="0.3">
      <c r="A427" s="78"/>
      <c r="B427" s="24" t="s">
        <v>8</v>
      </c>
      <c r="C427" s="79" t="s">
        <v>9</v>
      </c>
      <c r="D427" s="79">
        <v>1</v>
      </c>
      <c r="E427" s="58">
        <f>E426*D427</f>
        <v>55</v>
      </c>
      <c r="F427" s="56"/>
      <c r="G427" s="56"/>
      <c r="H427" s="58">
        <f>150/0.8/0.98</f>
        <v>191.32653061224491</v>
      </c>
      <c r="I427" s="58">
        <f>H427*E427</f>
        <v>10522.959183673471</v>
      </c>
      <c r="J427" s="58"/>
      <c r="K427" s="58"/>
      <c r="L427" s="57">
        <f>K427+I427+G427</f>
        <v>10522.959183673471</v>
      </c>
    </row>
    <row r="428" spans="1:12" s="69" customFormat="1" ht="13.95" customHeight="1" x14ac:dyDescent="0.3">
      <c r="A428" s="78"/>
      <c r="B428" s="24" t="s">
        <v>12</v>
      </c>
      <c r="C428" s="79"/>
      <c r="D428" s="79"/>
      <c r="E428" s="58"/>
      <c r="F428" s="56"/>
      <c r="G428" s="56"/>
      <c r="H428" s="58"/>
      <c r="I428" s="58"/>
      <c r="J428" s="58"/>
      <c r="K428" s="58"/>
      <c r="L428" s="57">
        <f>K428+I428+G428</f>
        <v>0</v>
      </c>
    </row>
    <row r="429" spans="1:12" s="69" customFormat="1" ht="13.95" customHeight="1" x14ac:dyDescent="0.3">
      <c r="A429" s="78"/>
      <c r="B429" s="24" t="s">
        <v>95</v>
      </c>
      <c r="C429" s="79" t="s">
        <v>9</v>
      </c>
      <c r="D429" s="79">
        <v>1</v>
      </c>
      <c r="E429" s="58">
        <f>D429*E426</f>
        <v>55</v>
      </c>
      <c r="F429" s="56">
        <v>1914.41</v>
      </c>
      <c r="G429" s="56">
        <f>F429*E429</f>
        <v>105292.55</v>
      </c>
      <c r="H429" s="58"/>
      <c r="I429" s="58"/>
      <c r="J429" s="58"/>
      <c r="K429" s="58"/>
      <c r="L429" s="57">
        <f>K429+I429+G429</f>
        <v>105292.55</v>
      </c>
    </row>
    <row r="430" spans="1:12" s="54" customFormat="1" ht="21.75" customHeight="1" x14ac:dyDescent="0.3">
      <c r="A430" s="49"/>
      <c r="B430" s="71" t="s">
        <v>101</v>
      </c>
      <c r="C430" s="50"/>
      <c r="D430" s="51"/>
      <c r="E430" s="51"/>
      <c r="F430" s="52"/>
      <c r="G430" s="51"/>
      <c r="H430" s="51"/>
      <c r="I430" s="51"/>
      <c r="J430" s="51"/>
      <c r="K430" s="51"/>
      <c r="L430" s="53"/>
    </row>
    <row r="431" spans="1:12" s="69" customFormat="1" ht="27.6" customHeight="1" x14ac:dyDescent="0.3">
      <c r="A431" s="80">
        <v>1</v>
      </c>
      <c r="B431" s="17" t="s">
        <v>212</v>
      </c>
      <c r="C431" s="75" t="s">
        <v>33</v>
      </c>
      <c r="D431" s="75"/>
      <c r="E431" s="81">
        <f>(64.8-29.7)*103.4+29.7*228-E467-E471</f>
        <v>8186.4179999999997</v>
      </c>
      <c r="F431" s="81"/>
      <c r="G431" s="81"/>
      <c r="H431" s="81"/>
      <c r="I431" s="81"/>
      <c r="J431" s="81"/>
      <c r="K431" s="81"/>
      <c r="L431" s="82"/>
    </row>
    <row r="432" spans="1:12" s="69" customFormat="1" ht="12.75" customHeight="1" x14ac:dyDescent="0.3">
      <c r="A432" s="78"/>
      <c r="B432" s="24" t="s">
        <v>8</v>
      </c>
      <c r="C432" s="79" t="s">
        <v>33</v>
      </c>
      <c r="D432" s="79">
        <v>1</v>
      </c>
      <c r="E432" s="58">
        <f>D432*E431</f>
        <v>8186.4179999999997</v>
      </c>
      <c r="F432" s="58"/>
      <c r="G432" s="58"/>
      <c r="H432" s="58">
        <f>8/0.8/0.98</f>
        <v>10.204081632653061</v>
      </c>
      <c r="I432" s="58">
        <f>H432*E432</f>
        <v>83534.8775510204</v>
      </c>
      <c r="J432" s="58"/>
      <c r="K432" s="58"/>
      <c r="L432" s="57">
        <f>G432+I432+K432</f>
        <v>83534.8775510204</v>
      </c>
    </row>
    <row r="433" spans="1:12" s="69" customFormat="1" ht="12.75" customHeight="1" x14ac:dyDescent="0.3">
      <c r="A433" s="78"/>
      <c r="B433" s="24" t="s">
        <v>10</v>
      </c>
      <c r="C433" s="79" t="s">
        <v>15</v>
      </c>
      <c r="D433" s="79">
        <v>2.7E-2</v>
      </c>
      <c r="E433" s="58">
        <f>D433*E431</f>
        <v>221.03328599999998</v>
      </c>
      <c r="F433" s="58"/>
      <c r="G433" s="58"/>
      <c r="H433" s="58"/>
      <c r="I433" s="58"/>
      <c r="J433" s="58">
        <v>4</v>
      </c>
      <c r="K433" s="58">
        <f>J433*E433</f>
        <v>884.1331439999999</v>
      </c>
      <c r="L433" s="57">
        <f>G433+I433+K433</f>
        <v>884.1331439999999</v>
      </c>
    </row>
    <row r="434" spans="1:12" s="69" customFormat="1" ht="12.75" customHeight="1" x14ac:dyDescent="0.3">
      <c r="A434" s="78"/>
      <c r="B434" s="24" t="s">
        <v>12</v>
      </c>
      <c r="C434" s="79"/>
      <c r="D434" s="79"/>
      <c r="E434" s="58"/>
      <c r="F434" s="58"/>
      <c r="G434" s="58"/>
      <c r="H434" s="58"/>
      <c r="I434" s="58"/>
      <c r="J434" s="58"/>
      <c r="K434" s="58"/>
      <c r="L434" s="57">
        <f>G434+I434+K434</f>
        <v>0</v>
      </c>
    </row>
    <row r="435" spans="1:12" s="69" customFormat="1" ht="12.75" customHeight="1" x14ac:dyDescent="0.3">
      <c r="A435" s="78"/>
      <c r="B435" s="24" t="s">
        <v>211</v>
      </c>
      <c r="C435" s="79" t="s">
        <v>33</v>
      </c>
      <c r="D435" s="79">
        <v>2.1</v>
      </c>
      <c r="E435" s="58">
        <f>D435*E431</f>
        <v>17191.477800000001</v>
      </c>
      <c r="F435" s="106">
        <v>16.399999999999999</v>
      </c>
      <c r="G435" s="56">
        <f>E435*F435</f>
        <v>281940.23592000001</v>
      </c>
      <c r="H435" s="58"/>
      <c r="I435" s="58"/>
      <c r="J435" s="58"/>
      <c r="K435" s="58"/>
      <c r="L435" s="57">
        <f>G435+I435+K435</f>
        <v>281940.23592000001</v>
      </c>
    </row>
    <row r="436" spans="1:12" s="69" customFormat="1" ht="12.75" customHeight="1" x14ac:dyDescent="0.3">
      <c r="A436" s="78"/>
      <c r="B436" s="24" t="s">
        <v>14</v>
      </c>
      <c r="C436" s="79" t="s">
        <v>15</v>
      </c>
      <c r="D436" s="79">
        <v>3.0000000000000001E-3</v>
      </c>
      <c r="E436" s="58">
        <f>D436*E431</f>
        <v>24.559253999999999</v>
      </c>
      <c r="F436" s="106">
        <v>1.8477536000000003</v>
      </c>
      <c r="G436" s="56">
        <f>E436*F436</f>
        <v>45.379449991814404</v>
      </c>
      <c r="H436" s="58"/>
      <c r="I436" s="58"/>
      <c r="J436" s="58"/>
      <c r="K436" s="58"/>
      <c r="L436" s="57">
        <f>G436+I436+K436</f>
        <v>45.379449991814404</v>
      </c>
    </row>
    <row r="437" spans="1:12" s="115" customFormat="1" ht="13.95" customHeight="1" x14ac:dyDescent="0.3">
      <c r="A437" s="80">
        <v>2</v>
      </c>
      <c r="B437" s="17" t="s">
        <v>184</v>
      </c>
      <c r="C437" s="75" t="s">
        <v>33</v>
      </c>
      <c r="D437" s="75"/>
      <c r="E437" s="81">
        <f>E431</f>
        <v>8186.4179999999997</v>
      </c>
      <c r="F437" s="81"/>
      <c r="G437" s="81"/>
      <c r="H437" s="81"/>
      <c r="I437" s="81"/>
      <c r="J437" s="81"/>
      <c r="K437" s="81"/>
      <c r="L437" s="82"/>
    </row>
    <row r="438" spans="1:12" s="116" customFormat="1" ht="13.95" customHeight="1" x14ac:dyDescent="0.3">
      <c r="A438" s="84"/>
      <c r="B438" s="24" t="s">
        <v>8</v>
      </c>
      <c r="C438" s="79" t="s">
        <v>33</v>
      </c>
      <c r="D438" s="79"/>
      <c r="E438" s="58">
        <f>E437</f>
        <v>8186.4179999999997</v>
      </c>
      <c r="F438" s="58"/>
      <c r="G438" s="58"/>
      <c r="H438" s="58">
        <f>60/0.8/0.98</f>
        <v>76.530612244897966</v>
      </c>
      <c r="I438" s="58">
        <f>H438*E438</f>
        <v>626511.58163265313</v>
      </c>
      <c r="J438" s="58"/>
      <c r="K438" s="58"/>
      <c r="L438" s="57">
        <f t="shared" ref="L438:L455" si="39">K438+I438+G438</f>
        <v>626511.58163265313</v>
      </c>
    </row>
    <row r="439" spans="1:12" s="116" customFormat="1" ht="13.95" customHeight="1" x14ac:dyDescent="0.3">
      <c r="A439" s="84"/>
      <c r="B439" s="24" t="s">
        <v>12</v>
      </c>
      <c r="C439" s="79"/>
      <c r="D439" s="79"/>
      <c r="E439" s="58"/>
      <c r="F439" s="58"/>
      <c r="G439" s="58"/>
      <c r="H439" s="58"/>
      <c r="I439" s="58"/>
      <c r="J439" s="58"/>
      <c r="K439" s="58"/>
      <c r="L439" s="57">
        <f t="shared" si="39"/>
        <v>0</v>
      </c>
    </row>
    <row r="440" spans="1:12" s="116" customFormat="1" ht="13.95" customHeight="1" x14ac:dyDescent="0.3">
      <c r="A440" s="84"/>
      <c r="B440" s="24" t="s">
        <v>185</v>
      </c>
      <c r="C440" s="79" t="s">
        <v>33</v>
      </c>
      <c r="D440" s="79">
        <v>1.01</v>
      </c>
      <c r="E440" s="58">
        <f>D440*E437</f>
        <v>8268.2821800000002</v>
      </c>
      <c r="F440" s="58">
        <f>80*2.73/1.18</f>
        <v>185.08474576271189</v>
      </c>
      <c r="G440" s="58">
        <f t="shared" ref="G440:G455" si="40">F440*E440</f>
        <v>1530332.9051796612</v>
      </c>
      <c r="H440" s="58"/>
      <c r="I440" s="58"/>
      <c r="J440" s="58"/>
      <c r="K440" s="58"/>
      <c r="L440" s="57">
        <f t="shared" si="39"/>
        <v>1530332.9051796612</v>
      </c>
    </row>
    <row r="441" spans="1:12" s="116" customFormat="1" ht="13.95" customHeight="1" x14ac:dyDescent="0.3">
      <c r="A441" s="84"/>
      <c r="B441" s="24" t="s">
        <v>186</v>
      </c>
      <c r="C441" s="79" t="s">
        <v>187</v>
      </c>
      <c r="D441" s="79">
        <v>3.06</v>
      </c>
      <c r="E441" s="58">
        <f>D441*E437</f>
        <v>25050.43908</v>
      </c>
      <c r="F441" s="58">
        <v>25</v>
      </c>
      <c r="G441" s="58">
        <f t="shared" si="40"/>
        <v>626260.97699999996</v>
      </c>
      <c r="H441" s="58"/>
      <c r="I441" s="58"/>
      <c r="J441" s="58"/>
      <c r="K441" s="58"/>
      <c r="L441" s="57">
        <f t="shared" si="39"/>
        <v>626260.97699999996</v>
      </c>
    </row>
    <row r="442" spans="1:12" s="116" customFormat="1" ht="13.95" customHeight="1" x14ac:dyDescent="0.3">
      <c r="A442" s="84"/>
      <c r="B442" s="24" t="s">
        <v>188</v>
      </c>
      <c r="C442" s="79" t="s">
        <v>9</v>
      </c>
      <c r="D442" s="79">
        <v>2.06</v>
      </c>
      <c r="E442" s="58">
        <f>D442*E437</f>
        <v>16864.021079999999</v>
      </c>
      <c r="F442" s="58">
        <f>9/1.18</f>
        <v>7.6271186440677967</v>
      </c>
      <c r="G442" s="58">
        <f t="shared" si="40"/>
        <v>128623.88959322033</v>
      </c>
      <c r="H442" s="58"/>
      <c r="I442" s="58"/>
      <c r="J442" s="58"/>
      <c r="K442" s="58"/>
      <c r="L442" s="57">
        <f t="shared" si="39"/>
        <v>128623.88959322033</v>
      </c>
    </row>
    <row r="443" spans="1:12" s="116" customFormat="1" ht="13.95" customHeight="1" x14ac:dyDescent="0.3">
      <c r="A443" s="84"/>
      <c r="B443" s="24" t="s">
        <v>189</v>
      </c>
      <c r="C443" s="79" t="s">
        <v>9</v>
      </c>
      <c r="D443" s="79">
        <v>2.06</v>
      </c>
      <c r="E443" s="58">
        <f>D443*E437</f>
        <v>16864.021079999999</v>
      </c>
      <c r="F443" s="58">
        <f>4/1.18</f>
        <v>3.3898305084745766</v>
      </c>
      <c r="G443" s="58">
        <f t="shared" si="40"/>
        <v>57166.173152542375</v>
      </c>
      <c r="H443" s="58"/>
      <c r="I443" s="58"/>
      <c r="J443" s="58"/>
      <c r="K443" s="58"/>
      <c r="L443" s="57">
        <f t="shared" si="39"/>
        <v>57166.173152542375</v>
      </c>
    </row>
    <row r="444" spans="1:12" s="116" customFormat="1" ht="13.95" customHeight="1" x14ac:dyDescent="0.3">
      <c r="A444" s="84"/>
      <c r="B444" s="24" t="s">
        <v>190</v>
      </c>
      <c r="C444" s="79" t="s">
        <v>9</v>
      </c>
      <c r="D444" s="79">
        <v>4.0599999999999996</v>
      </c>
      <c r="E444" s="58">
        <f>D444*E437</f>
        <v>33236.857079999994</v>
      </c>
      <c r="F444" s="58">
        <f>0.63/1.18</f>
        <v>0.53389830508474578</v>
      </c>
      <c r="G444" s="58">
        <f t="shared" si="40"/>
        <v>17745.10166135593</v>
      </c>
      <c r="H444" s="58"/>
      <c r="I444" s="58"/>
      <c r="J444" s="58"/>
      <c r="K444" s="58"/>
      <c r="L444" s="57">
        <f t="shared" si="39"/>
        <v>17745.10166135593</v>
      </c>
    </row>
    <row r="445" spans="1:12" s="116" customFormat="1" ht="13.95" customHeight="1" x14ac:dyDescent="0.3">
      <c r="A445" s="84"/>
      <c r="B445" s="24" t="s">
        <v>191</v>
      </c>
      <c r="C445" s="79" t="s">
        <v>187</v>
      </c>
      <c r="D445" s="79">
        <v>0.6</v>
      </c>
      <c r="E445" s="58">
        <f>D445*E437</f>
        <v>4911.8507999999993</v>
      </c>
      <c r="F445" s="58">
        <f>15/1.18</f>
        <v>12.711864406779661</v>
      </c>
      <c r="G445" s="58">
        <f t="shared" si="40"/>
        <v>62438.781355932195</v>
      </c>
      <c r="H445" s="58"/>
      <c r="I445" s="58"/>
      <c r="J445" s="58"/>
      <c r="K445" s="58"/>
      <c r="L445" s="57">
        <f t="shared" si="39"/>
        <v>62438.781355932195</v>
      </c>
    </row>
    <row r="446" spans="1:12" s="116" customFormat="1" ht="13.95" customHeight="1" x14ac:dyDescent="0.3">
      <c r="A446" s="84"/>
      <c r="B446" s="24" t="s">
        <v>192</v>
      </c>
      <c r="C446" s="79" t="s">
        <v>9</v>
      </c>
      <c r="D446" s="79">
        <v>2.06</v>
      </c>
      <c r="E446" s="58">
        <f>D446*E437</f>
        <v>16864.021079999999</v>
      </c>
      <c r="F446" s="58">
        <f>1.8/1.18</f>
        <v>1.5254237288135595</v>
      </c>
      <c r="G446" s="58">
        <f t="shared" si="40"/>
        <v>25724.777918644068</v>
      </c>
      <c r="H446" s="58"/>
      <c r="I446" s="58"/>
      <c r="J446" s="58"/>
      <c r="K446" s="58"/>
      <c r="L446" s="57">
        <f t="shared" si="39"/>
        <v>25724.777918644068</v>
      </c>
    </row>
    <row r="447" spans="1:12" s="116" customFormat="1" ht="27.6" customHeight="1" x14ac:dyDescent="0.3">
      <c r="A447" s="84"/>
      <c r="B447" s="24" t="s">
        <v>193</v>
      </c>
      <c r="C447" s="79" t="s">
        <v>16</v>
      </c>
      <c r="D447" s="79">
        <v>1</v>
      </c>
      <c r="E447" s="58">
        <f>D447*E437</f>
        <v>8186.4179999999997</v>
      </c>
      <c r="F447" s="58">
        <f>5/1.18</f>
        <v>4.2372881355932206</v>
      </c>
      <c r="G447" s="58">
        <f t="shared" si="40"/>
        <v>34688.211864406781</v>
      </c>
      <c r="H447" s="58"/>
      <c r="I447" s="58"/>
      <c r="J447" s="58"/>
      <c r="K447" s="58"/>
      <c r="L447" s="57">
        <f t="shared" si="39"/>
        <v>34688.211864406781</v>
      </c>
    </row>
    <row r="448" spans="1:12" s="116" customFormat="1" ht="13.95" customHeight="1" x14ac:dyDescent="0.3">
      <c r="A448" s="84"/>
      <c r="B448" s="24" t="s">
        <v>194</v>
      </c>
      <c r="C448" s="79" t="s">
        <v>9</v>
      </c>
      <c r="D448" s="79">
        <v>7</v>
      </c>
      <c r="E448" s="58">
        <f>D448*E437</f>
        <v>57304.925999999999</v>
      </c>
      <c r="F448" s="58">
        <f>0.3/1.18</f>
        <v>0.25423728813559321</v>
      </c>
      <c r="G448" s="58">
        <f t="shared" si="40"/>
        <v>14569.048983050847</v>
      </c>
      <c r="H448" s="58"/>
      <c r="I448" s="58"/>
      <c r="J448" s="58"/>
      <c r="K448" s="58"/>
      <c r="L448" s="57">
        <f t="shared" si="39"/>
        <v>14569.048983050847</v>
      </c>
    </row>
    <row r="449" spans="1:16" s="116" customFormat="1" ht="13.95" customHeight="1" x14ac:dyDescent="0.3">
      <c r="A449" s="84"/>
      <c r="B449" s="24" t="s">
        <v>195</v>
      </c>
      <c r="C449" s="79" t="s">
        <v>187</v>
      </c>
      <c r="D449" s="79">
        <v>0.16800000000000001</v>
      </c>
      <c r="E449" s="58">
        <f>D449*E437</f>
        <v>1375.3182240000001</v>
      </c>
      <c r="F449" s="58">
        <f>F441*0.78</f>
        <v>19.5</v>
      </c>
      <c r="G449" s="58">
        <f t="shared" si="40"/>
        <v>26818.705368000003</v>
      </c>
      <c r="H449" s="58"/>
      <c r="I449" s="58"/>
      <c r="J449" s="58"/>
      <c r="K449" s="58"/>
      <c r="L449" s="57">
        <f t="shared" si="39"/>
        <v>26818.705368000003</v>
      </c>
    </row>
    <row r="450" spans="1:16" s="116" customFormat="1" ht="13.95" customHeight="1" x14ac:dyDescent="0.3">
      <c r="A450" s="84"/>
      <c r="B450" s="24" t="s">
        <v>196</v>
      </c>
      <c r="C450" s="79" t="s">
        <v>9</v>
      </c>
      <c r="D450" s="79">
        <v>30</v>
      </c>
      <c r="E450" s="58">
        <f>D450*E437</f>
        <v>245592.53999999998</v>
      </c>
      <c r="F450" s="58">
        <f>0.2/1.18</f>
        <v>0.16949152542372883</v>
      </c>
      <c r="G450" s="58">
        <f t="shared" si="40"/>
        <v>41625.854237288135</v>
      </c>
      <c r="H450" s="58"/>
      <c r="I450" s="58"/>
      <c r="J450" s="58"/>
      <c r="K450" s="58"/>
      <c r="L450" s="57">
        <f t="shared" si="39"/>
        <v>41625.854237288135</v>
      </c>
    </row>
    <row r="451" spans="1:16" s="116" customFormat="1" ht="13.95" customHeight="1" x14ac:dyDescent="0.3">
      <c r="A451" s="84"/>
      <c r="B451" s="24" t="s">
        <v>197</v>
      </c>
      <c r="C451" s="79" t="s">
        <v>9</v>
      </c>
      <c r="D451" s="79">
        <v>8</v>
      </c>
      <c r="E451" s="58">
        <f>D451*E437</f>
        <v>65491.343999999997</v>
      </c>
      <c r="F451" s="58">
        <f>0.11/1.18</f>
        <v>9.3220338983050849E-2</v>
      </c>
      <c r="G451" s="58">
        <f t="shared" si="40"/>
        <v>6105.1252881355931</v>
      </c>
      <c r="H451" s="58"/>
      <c r="I451" s="58"/>
      <c r="J451" s="58"/>
      <c r="K451" s="58"/>
      <c r="L451" s="57">
        <f t="shared" si="39"/>
        <v>6105.1252881355931</v>
      </c>
    </row>
    <row r="452" spans="1:16" s="116" customFormat="1" ht="13.95" customHeight="1" x14ac:dyDescent="0.3">
      <c r="A452" s="84"/>
      <c r="B452" s="24" t="s">
        <v>198</v>
      </c>
      <c r="C452" s="79" t="s">
        <v>9</v>
      </c>
      <c r="D452" s="79">
        <v>0.08</v>
      </c>
      <c r="E452" s="58">
        <f>D452*E437</f>
        <v>654.91344000000004</v>
      </c>
      <c r="F452" s="58">
        <f>10/1.18</f>
        <v>8.4745762711864412</v>
      </c>
      <c r="G452" s="58">
        <f t="shared" si="40"/>
        <v>5550.1138983050851</v>
      </c>
      <c r="H452" s="58"/>
      <c r="I452" s="58"/>
      <c r="J452" s="58"/>
      <c r="K452" s="58"/>
      <c r="L452" s="57">
        <f t="shared" si="39"/>
        <v>5550.1138983050851</v>
      </c>
    </row>
    <row r="453" spans="1:16" s="116" customFormat="1" ht="13.95" customHeight="1" x14ac:dyDescent="0.3">
      <c r="A453" s="84"/>
      <c r="B453" s="24" t="s">
        <v>199</v>
      </c>
      <c r="C453" s="79" t="s">
        <v>9</v>
      </c>
      <c r="D453" s="79">
        <v>0.21</v>
      </c>
      <c r="E453" s="58">
        <f>D453*E437</f>
        <v>1719.1477799999998</v>
      </c>
      <c r="F453" s="58">
        <f>4/1.18</f>
        <v>3.3898305084745766</v>
      </c>
      <c r="G453" s="58">
        <f t="shared" si="40"/>
        <v>5827.6195932203391</v>
      </c>
      <c r="H453" s="58"/>
      <c r="I453" s="58"/>
      <c r="J453" s="58"/>
      <c r="K453" s="58"/>
      <c r="L453" s="57">
        <f t="shared" si="39"/>
        <v>5827.6195932203391</v>
      </c>
    </row>
    <row r="454" spans="1:16" s="116" customFormat="1" ht="13.95" customHeight="1" x14ac:dyDescent="0.3">
      <c r="A454" s="84"/>
      <c r="B454" s="24" t="s">
        <v>200</v>
      </c>
      <c r="C454" s="79" t="s">
        <v>9</v>
      </c>
      <c r="D454" s="79">
        <v>0.06</v>
      </c>
      <c r="E454" s="58">
        <f>D454*E437</f>
        <v>491.18507999999997</v>
      </c>
      <c r="F454" s="58">
        <f>8/1.18</f>
        <v>6.7796610169491531</v>
      </c>
      <c r="G454" s="58">
        <f t="shared" si="40"/>
        <v>3330.068338983051</v>
      </c>
      <c r="H454" s="58"/>
      <c r="I454" s="58"/>
      <c r="J454" s="58"/>
      <c r="K454" s="58"/>
      <c r="L454" s="57">
        <f t="shared" si="39"/>
        <v>3330.068338983051</v>
      </c>
    </row>
    <row r="455" spans="1:16" s="116" customFormat="1" ht="13.95" customHeight="1" x14ac:dyDescent="0.3">
      <c r="A455" s="84"/>
      <c r="B455" s="24" t="s">
        <v>201</v>
      </c>
      <c r="C455" s="79" t="s">
        <v>9</v>
      </c>
      <c r="D455" s="79">
        <v>0.4</v>
      </c>
      <c r="E455" s="58">
        <f>D455*E437</f>
        <v>3274.5672</v>
      </c>
      <c r="F455" s="58">
        <f>14/1.18</f>
        <v>11.864406779661017</v>
      </c>
      <c r="G455" s="58">
        <f t="shared" si="40"/>
        <v>38850.797288135596</v>
      </c>
      <c r="H455" s="58"/>
      <c r="I455" s="58"/>
      <c r="J455" s="58"/>
      <c r="K455" s="58"/>
      <c r="L455" s="57">
        <f t="shared" si="39"/>
        <v>38850.797288135596</v>
      </c>
      <c r="N455" s="118"/>
      <c r="O455" s="67"/>
      <c r="P455" s="118"/>
    </row>
    <row r="456" spans="1:16" s="69" customFormat="1" ht="27.6" customHeight="1" x14ac:dyDescent="0.3">
      <c r="A456" s="80">
        <v>3</v>
      </c>
      <c r="B456" s="17" t="s">
        <v>164</v>
      </c>
      <c r="C456" s="75" t="s">
        <v>33</v>
      </c>
      <c r="D456" s="75"/>
      <c r="E456" s="81">
        <f>1541.19+790.6+140.66+(91.3+33.4+57+144+17)*2*1.1</f>
        <v>3226.39</v>
      </c>
      <c r="F456" s="106"/>
      <c r="G456" s="81"/>
      <c r="H456" s="81"/>
      <c r="I456" s="81"/>
      <c r="J456" s="81"/>
      <c r="K456" s="81"/>
      <c r="L456" s="82"/>
    </row>
    <row r="457" spans="1:16" s="83" customFormat="1" ht="13.95" customHeight="1" x14ac:dyDescent="0.3">
      <c r="A457" s="84"/>
      <c r="B457" s="24" t="s">
        <v>8</v>
      </c>
      <c r="C457" s="79" t="s">
        <v>33</v>
      </c>
      <c r="D457" s="79"/>
      <c r="E457" s="58">
        <f>E456</f>
        <v>3226.39</v>
      </c>
      <c r="F457" s="106"/>
      <c r="G457" s="58"/>
      <c r="H457" s="58">
        <f>20/0.8/0.98</f>
        <v>25.510204081632654</v>
      </c>
      <c r="I457" s="58">
        <f>H457*E457</f>
        <v>82305.867346938772</v>
      </c>
      <c r="J457" s="58"/>
      <c r="K457" s="58"/>
      <c r="L457" s="57">
        <f t="shared" ref="L457:L464" si="41">K457+I457+G457</f>
        <v>82305.867346938772</v>
      </c>
    </row>
    <row r="458" spans="1:16" s="83" customFormat="1" ht="13.95" customHeight="1" x14ac:dyDescent="0.3">
      <c r="A458" s="84"/>
      <c r="B458" s="24" t="s">
        <v>12</v>
      </c>
      <c r="C458" s="79"/>
      <c r="D458" s="79"/>
      <c r="E458" s="58"/>
      <c r="F458" s="106"/>
      <c r="G458" s="58"/>
      <c r="H458" s="58"/>
      <c r="I458" s="58"/>
      <c r="J458" s="58"/>
      <c r="K458" s="58"/>
      <c r="L458" s="57">
        <f t="shared" si="41"/>
        <v>0</v>
      </c>
    </row>
    <row r="459" spans="1:16" s="85" customFormat="1" ht="14.4" customHeight="1" x14ac:dyDescent="0.3">
      <c r="A459" s="84"/>
      <c r="B459" s="24" t="s">
        <v>42</v>
      </c>
      <c r="C459" s="79" t="s">
        <v>43</v>
      </c>
      <c r="D459" s="79">
        <v>0.15</v>
      </c>
      <c r="E459" s="58">
        <f>E456*0.15</f>
        <v>483.95849999999996</v>
      </c>
      <c r="F459" s="106">
        <v>2.0258739152542371</v>
      </c>
      <c r="G459" s="58">
        <f t="shared" ref="G459:G464" si="42">F459*E459</f>
        <v>980.43890121556763</v>
      </c>
      <c r="H459" s="58"/>
      <c r="I459" s="58"/>
      <c r="J459" s="58"/>
      <c r="K459" s="58"/>
      <c r="L459" s="57">
        <f t="shared" si="41"/>
        <v>980.43890121556763</v>
      </c>
    </row>
    <row r="460" spans="1:16" s="85" customFormat="1" ht="14.4" customHeight="1" x14ac:dyDescent="0.3">
      <c r="A460" s="84"/>
      <c r="B460" s="24" t="s">
        <v>44</v>
      </c>
      <c r="C460" s="79" t="s">
        <v>13</v>
      </c>
      <c r="D460" s="79">
        <v>7.5</v>
      </c>
      <c r="E460" s="58">
        <f>E456*7.5</f>
        <v>24197.924999999999</v>
      </c>
      <c r="F460" s="106">
        <v>0.36015536271186444</v>
      </c>
      <c r="G460" s="58">
        <f t="shared" si="42"/>
        <v>8715.0124552494926</v>
      </c>
      <c r="H460" s="58"/>
      <c r="I460" s="58"/>
      <c r="J460" s="58"/>
      <c r="K460" s="58"/>
      <c r="L460" s="57">
        <f t="shared" si="41"/>
        <v>8715.0124552494926</v>
      </c>
    </row>
    <row r="461" spans="1:16" s="85" customFormat="1" ht="14.4" customHeight="1" x14ac:dyDescent="0.3">
      <c r="A461" s="84"/>
      <c r="B461" s="24" t="s">
        <v>45</v>
      </c>
      <c r="C461" s="79" t="s">
        <v>28</v>
      </c>
      <c r="D461" s="79">
        <v>0.3</v>
      </c>
      <c r="E461" s="58">
        <f>E456*0.3</f>
        <v>967.91699999999992</v>
      </c>
      <c r="F461" s="106">
        <v>2.6986441327999997</v>
      </c>
      <c r="G461" s="58">
        <f t="shared" si="42"/>
        <v>2612.063533087377</v>
      </c>
      <c r="H461" s="58"/>
      <c r="I461" s="58"/>
      <c r="J461" s="58"/>
      <c r="K461" s="58"/>
      <c r="L461" s="57">
        <f t="shared" si="41"/>
        <v>2612.063533087377</v>
      </c>
    </row>
    <row r="462" spans="1:16" s="85" customFormat="1" ht="14.4" customHeight="1" x14ac:dyDescent="0.3">
      <c r="A462" s="84"/>
      <c r="B462" s="24" t="s">
        <v>46</v>
      </c>
      <c r="C462" s="79" t="s">
        <v>30</v>
      </c>
      <c r="D462" s="79">
        <v>1.1000000000000001</v>
      </c>
      <c r="E462" s="58">
        <f>E456*1.1</f>
        <v>3549.029</v>
      </c>
      <c r="F462" s="106">
        <v>0.37581429152542378</v>
      </c>
      <c r="G462" s="56">
        <f t="shared" si="42"/>
        <v>1333.7758192381832</v>
      </c>
      <c r="H462" s="58"/>
      <c r="I462" s="58"/>
      <c r="J462" s="58"/>
      <c r="K462" s="58"/>
      <c r="L462" s="57">
        <f t="shared" si="41"/>
        <v>1333.7758192381832</v>
      </c>
    </row>
    <row r="463" spans="1:16" s="85" customFormat="1" ht="14.4" customHeight="1" x14ac:dyDescent="0.3">
      <c r="A463" s="84"/>
      <c r="B463" s="24" t="s">
        <v>47</v>
      </c>
      <c r="C463" s="79" t="s">
        <v>13</v>
      </c>
      <c r="D463" s="79">
        <v>0.25</v>
      </c>
      <c r="E463" s="58">
        <f>E456*0.25</f>
        <v>806.59749999999997</v>
      </c>
      <c r="F463" s="106">
        <v>2.4760681186440672</v>
      </c>
      <c r="G463" s="58">
        <f t="shared" si="42"/>
        <v>1997.190354328008</v>
      </c>
      <c r="H463" s="58"/>
      <c r="I463" s="58"/>
      <c r="J463" s="58"/>
      <c r="K463" s="58"/>
      <c r="L463" s="57">
        <f t="shared" si="41"/>
        <v>1997.190354328008</v>
      </c>
    </row>
    <row r="464" spans="1:16" s="85" customFormat="1" ht="14.4" customHeight="1" x14ac:dyDescent="0.3">
      <c r="A464" s="84"/>
      <c r="B464" s="24" t="s">
        <v>48</v>
      </c>
      <c r="C464" s="79" t="s">
        <v>13</v>
      </c>
      <c r="D464" s="79">
        <v>4</v>
      </c>
      <c r="E464" s="58">
        <f>E456*4</f>
        <v>12905.56</v>
      </c>
      <c r="F464" s="106">
        <v>0.5402330440677966</v>
      </c>
      <c r="G464" s="58">
        <f t="shared" si="42"/>
        <v>6972.009964199593</v>
      </c>
      <c r="H464" s="58"/>
      <c r="I464" s="58"/>
      <c r="J464" s="58"/>
      <c r="K464" s="58"/>
      <c r="L464" s="57">
        <f t="shared" si="41"/>
        <v>6972.009964199593</v>
      </c>
    </row>
    <row r="465" spans="1:19" s="86" customFormat="1" ht="13.95" customHeight="1" x14ac:dyDescent="0.3">
      <c r="A465" s="84"/>
      <c r="B465" s="24" t="s">
        <v>49</v>
      </c>
      <c r="C465" s="79" t="s">
        <v>13</v>
      </c>
      <c r="D465" s="79">
        <v>0.45</v>
      </c>
      <c r="E465" s="58">
        <f>E456*D465</f>
        <v>1451.8754999999999</v>
      </c>
      <c r="F465" s="106">
        <v>4.951979648</v>
      </c>
      <c r="G465" s="58">
        <f>E465*F465</f>
        <v>7189.6579274298238</v>
      </c>
      <c r="H465" s="58"/>
      <c r="I465" s="58"/>
      <c r="J465" s="58"/>
      <c r="K465" s="58"/>
      <c r="L465" s="57">
        <f>G465+I465+K465</f>
        <v>7189.6579274298238</v>
      </c>
      <c r="M465" s="87"/>
      <c r="N465" s="87"/>
      <c r="O465" s="87"/>
      <c r="P465" s="87"/>
      <c r="Q465" s="87"/>
      <c r="R465" s="87"/>
      <c r="S465" s="87"/>
    </row>
    <row r="466" spans="1:19" s="86" customFormat="1" ht="13.95" customHeight="1" x14ac:dyDescent="0.3">
      <c r="A466" s="84"/>
      <c r="B466" s="24" t="s">
        <v>14</v>
      </c>
      <c r="C466" s="79" t="s">
        <v>15</v>
      </c>
      <c r="D466" s="79">
        <v>1.2999999999999999E-3</v>
      </c>
      <c r="E466" s="58">
        <f>E464*D466</f>
        <v>16.777227999999997</v>
      </c>
      <c r="F466" s="106">
        <v>1.4782028800000004</v>
      </c>
      <c r="G466" s="56">
        <f>E466*F466</f>
        <v>24.800146748016644</v>
      </c>
      <c r="H466" s="58"/>
      <c r="I466" s="58"/>
      <c r="J466" s="58"/>
      <c r="K466" s="58"/>
      <c r="L466" s="57">
        <f>G466+I466+K466</f>
        <v>24.800146748016644</v>
      </c>
      <c r="M466" s="87"/>
      <c r="N466" s="87"/>
      <c r="O466" s="87"/>
      <c r="P466" s="87"/>
      <c r="Q466" s="87"/>
      <c r="R466" s="87"/>
      <c r="S466" s="87"/>
    </row>
    <row r="467" spans="1:19" s="69" customFormat="1" ht="13.95" customHeight="1" x14ac:dyDescent="0.3">
      <c r="A467" s="68">
        <v>4</v>
      </c>
      <c r="B467" s="74" t="s">
        <v>96</v>
      </c>
      <c r="C467" s="75" t="s">
        <v>33</v>
      </c>
      <c r="D467" s="75"/>
      <c r="E467" s="76">
        <f>7.6*29</f>
        <v>220.39999999999998</v>
      </c>
      <c r="F467" s="106"/>
      <c r="G467" s="76"/>
      <c r="H467" s="76"/>
      <c r="I467" s="76"/>
      <c r="J467" s="76"/>
      <c r="K467" s="76"/>
      <c r="L467" s="77"/>
    </row>
    <row r="468" spans="1:19" s="69" customFormat="1" ht="13.95" customHeight="1" x14ac:dyDescent="0.3">
      <c r="A468" s="78"/>
      <c r="B468" s="24" t="s">
        <v>8</v>
      </c>
      <c r="C468" s="79" t="s">
        <v>33</v>
      </c>
      <c r="D468" s="79">
        <v>1</v>
      </c>
      <c r="E468" s="58">
        <f>E467*D468</f>
        <v>220.39999999999998</v>
      </c>
      <c r="F468" s="106"/>
      <c r="G468" s="56"/>
      <c r="H468" s="58">
        <f>30/0.8/0.98</f>
        <v>38.265306122448983</v>
      </c>
      <c r="I468" s="58">
        <f>H468*E468</f>
        <v>8433.6734693877552</v>
      </c>
      <c r="J468" s="58"/>
      <c r="K468" s="58"/>
      <c r="L468" s="57">
        <f>K468+I468+G468</f>
        <v>8433.6734693877552</v>
      </c>
    </row>
    <row r="469" spans="1:19" s="69" customFormat="1" ht="13.95" customHeight="1" x14ac:dyDescent="0.3">
      <c r="A469" s="78"/>
      <c r="B469" s="24" t="s">
        <v>12</v>
      </c>
      <c r="C469" s="79"/>
      <c r="D469" s="79"/>
      <c r="E469" s="58"/>
      <c r="F469" s="106"/>
      <c r="G469" s="56"/>
      <c r="H469" s="58"/>
      <c r="I469" s="58"/>
      <c r="J469" s="58"/>
      <c r="K469" s="58"/>
      <c r="L469" s="57">
        <f>K469+I469+G469</f>
        <v>0</v>
      </c>
    </row>
    <row r="470" spans="1:19" s="69" customFormat="1" ht="13.95" customHeight="1" x14ac:dyDescent="0.3">
      <c r="A470" s="78"/>
      <c r="B470" s="24" t="s">
        <v>97</v>
      </c>
      <c r="C470" s="79" t="s">
        <v>33</v>
      </c>
      <c r="D470" s="79">
        <v>1</v>
      </c>
      <c r="E470" s="58">
        <f>D470*E467</f>
        <v>220.39999999999998</v>
      </c>
      <c r="F470" s="106">
        <v>319.44214779661024</v>
      </c>
      <c r="G470" s="56">
        <f>F470*E470</f>
        <v>70405.049374372888</v>
      </c>
      <c r="H470" s="58"/>
      <c r="I470" s="58"/>
      <c r="J470" s="58"/>
      <c r="K470" s="58"/>
      <c r="L470" s="57">
        <f>K470+I470+G470</f>
        <v>70405.049374372888</v>
      </c>
    </row>
    <row r="471" spans="1:19" s="69" customFormat="1" ht="13.95" customHeight="1" x14ac:dyDescent="0.3">
      <c r="A471" s="68">
        <v>5</v>
      </c>
      <c r="B471" s="74" t="s">
        <v>98</v>
      </c>
      <c r="C471" s="75" t="s">
        <v>33</v>
      </c>
      <c r="D471" s="75"/>
      <c r="E471" s="104">
        <f>(1+1.9+1.8*7+2.2*5)*17*2.6+(6.21+2.2*3+1.8*18)*2.6*7</f>
        <v>1994.1219999999998</v>
      </c>
      <c r="F471" s="106"/>
      <c r="G471" s="76"/>
      <c r="H471" s="76"/>
      <c r="I471" s="76"/>
      <c r="J471" s="76"/>
      <c r="K471" s="76"/>
      <c r="L471" s="77"/>
    </row>
    <row r="472" spans="1:19" s="69" customFormat="1" ht="13.95" customHeight="1" x14ac:dyDescent="0.3">
      <c r="A472" s="78"/>
      <c r="B472" s="24" t="s">
        <v>8</v>
      </c>
      <c r="C472" s="79" t="s">
        <v>33</v>
      </c>
      <c r="D472" s="79">
        <v>1</v>
      </c>
      <c r="E472" s="58">
        <f>E471*D472</f>
        <v>1994.1219999999998</v>
      </c>
      <c r="F472" s="106"/>
      <c r="G472" s="56"/>
      <c r="H472" s="58">
        <f>H468</f>
        <v>38.265306122448983</v>
      </c>
      <c r="I472" s="58">
        <f>H472*E472</f>
        <v>76305.688775510207</v>
      </c>
      <c r="J472" s="58"/>
      <c r="K472" s="58"/>
      <c r="L472" s="57">
        <f>K472+I472+G472</f>
        <v>76305.688775510207</v>
      </c>
    </row>
    <row r="473" spans="1:19" s="69" customFormat="1" ht="13.95" customHeight="1" x14ac:dyDescent="0.3">
      <c r="A473" s="78"/>
      <c r="B473" s="24" t="s">
        <v>12</v>
      </c>
      <c r="C473" s="79"/>
      <c r="D473" s="79"/>
      <c r="E473" s="58"/>
      <c r="F473" s="106"/>
      <c r="G473" s="56"/>
      <c r="H473" s="58"/>
      <c r="I473" s="58"/>
      <c r="J473" s="58"/>
      <c r="K473" s="58"/>
      <c r="L473" s="57">
        <f>K473+I473+G473</f>
        <v>0</v>
      </c>
    </row>
    <row r="474" spans="1:19" s="69" customFormat="1" ht="13.95" customHeight="1" x14ac:dyDescent="0.3">
      <c r="A474" s="78"/>
      <c r="B474" s="24" t="s">
        <v>99</v>
      </c>
      <c r="C474" s="79" t="s">
        <v>33</v>
      </c>
      <c r="D474" s="79">
        <v>1</v>
      </c>
      <c r="E474" s="58">
        <f>D474*E471</f>
        <v>1994.1219999999998</v>
      </c>
      <c r="F474" s="106">
        <v>189.66877525423729</v>
      </c>
      <c r="G474" s="56">
        <f>F474*E474</f>
        <v>378222.67744753015</v>
      </c>
      <c r="H474" s="58"/>
      <c r="I474" s="58"/>
      <c r="J474" s="58"/>
      <c r="K474" s="58"/>
      <c r="L474" s="57">
        <f>K474+I474+G474</f>
        <v>378222.67744753015</v>
      </c>
      <c r="N474" s="118"/>
      <c r="O474" s="67"/>
      <c r="P474" s="118"/>
    </row>
    <row r="475" spans="1:19" s="69" customFormat="1" ht="27.6" customHeight="1" x14ac:dyDescent="0.3">
      <c r="A475" s="68">
        <v>6</v>
      </c>
      <c r="B475" s="74" t="s">
        <v>152</v>
      </c>
      <c r="C475" s="75" t="s">
        <v>7</v>
      </c>
      <c r="D475" s="75"/>
      <c r="E475" s="76">
        <f>91.3+33.4+57+144+17</f>
        <v>342.7</v>
      </c>
      <c r="F475" s="106"/>
      <c r="G475" s="76"/>
      <c r="H475" s="76"/>
      <c r="I475" s="76"/>
      <c r="J475" s="76"/>
      <c r="K475" s="76"/>
      <c r="L475" s="77"/>
    </row>
    <row r="476" spans="1:19" s="69" customFormat="1" ht="13.95" customHeight="1" x14ac:dyDescent="0.3">
      <c r="A476" s="78"/>
      <c r="B476" s="24" t="s">
        <v>8</v>
      </c>
      <c r="C476" s="79" t="s">
        <v>7</v>
      </c>
      <c r="D476" s="79">
        <v>1</v>
      </c>
      <c r="E476" s="58">
        <f>E475*D476</f>
        <v>342.7</v>
      </c>
      <c r="F476" s="106"/>
      <c r="G476" s="56"/>
      <c r="H476" s="58">
        <f>10/0.8/0.98</f>
        <v>12.755102040816327</v>
      </c>
      <c r="I476" s="58">
        <f>H476*E476</f>
        <v>4371.1734693877552</v>
      </c>
      <c r="J476" s="58"/>
      <c r="K476" s="58"/>
      <c r="L476" s="57">
        <f>K476+I476+G476</f>
        <v>4371.1734693877552</v>
      </c>
    </row>
    <row r="477" spans="1:19" s="69" customFormat="1" ht="13.95" customHeight="1" x14ac:dyDescent="0.3">
      <c r="A477" s="78"/>
      <c r="B477" s="24" t="s">
        <v>10</v>
      </c>
      <c r="C477" s="79" t="s">
        <v>15</v>
      </c>
      <c r="D477" s="79">
        <f>0.08*0.1</f>
        <v>8.0000000000000002E-3</v>
      </c>
      <c r="E477" s="58">
        <f>D477*E475</f>
        <v>2.7416</v>
      </c>
      <c r="F477" s="106"/>
      <c r="G477" s="56"/>
      <c r="H477" s="58"/>
      <c r="I477" s="58"/>
      <c r="J477" s="58">
        <v>4</v>
      </c>
      <c r="K477" s="58">
        <f>J477*E477</f>
        <v>10.9664</v>
      </c>
      <c r="L477" s="57">
        <f>K477+I477+G477</f>
        <v>10.9664</v>
      </c>
    </row>
    <row r="478" spans="1:19" s="69" customFormat="1" ht="13.95" customHeight="1" x14ac:dyDescent="0.3">
      <c r="A478" s="78"/>
      <c r="B478" s="24" t="s">
        <v>12</v>
      </c>
      <c r="C478" s="79"/>
      <c r="D478" s="79"/>
      <c r="E478" s="58"/>
      <c r="F478" s="106"/>
      <c r="G478" s="56"/>
      <c r="H478" s="58"/>
      <c r="I478" s="58"/>
      <c r="J478" s="58"/>
      <c r="K478" s="58"/>
      <c r="L478" s="57">
        <f>K478+I478+G478</f>
        <v>0</v>
      </c>
    </row>
    <row r="479" spans="1:19" s="69" customFormat="1" ht="13.95" customHeight="1" x14ac:dyDescent="0.3">
      <c r="A479" s="78"/>
      <c r="B479" s="24" t="s">
        <v>126</v>
      </c>
      <c r="C479" s="79" t="s">
        <v>33</v>
      </c>
      <c r="D479" s="79">
        <v>1</v>
      </c>
      <c r="E479" s="58">
        <f>D479*E475</f>
        <v>342.7</v>
      </c>
      <c r="F479" s="106">
        <v>410</v>
      </c>
      <c r="G479" s="56">
        <f>F479*E479</f>
        <v>140507</v>
      </c>
      <c r="H479" s="58"/>
      <c r="I479" s="58"/>
      <c r="J479" s="58"/>
      <c r="K479" s="58"/>
      <c r="L479" s="57">
        <f>K479+I479+G479</f>
        <v>140507</v>
      </c>
    </row>
    <row r="480" spans="1:19" s="69" customFormat="1" ht="13.95" customHeight="1" x14ac:dyDescent="0.3">
      <c r="A480" s="78"/>
      <c r="B480" s="24" t="s">
        <v>127</v>
      </c>
      <c r="C480" s="79" t="s">
        <v>33</v>
      </c>
      <c r="D480" s="79">
        <v>1</v>
      </c>
      <c r="E480" s="58">
        <f>D480*E475</f>
        <v>342.7</v>
      </c>
      <c r="F480" s="106">
        <v>34.183441600000002</v>
      </c>
      <c r="G480" s="56">
        <f>F480*E480</f>
        <v>11714.66543632</v>
      </c>
      <c r="H480" s="58"/>
      <c r="I480" s="58"/>
      <c r="J480" s="58"/>
      <c r="K480" s="58"/>
      <c r="L480" s="57">
        <f>K480+I480+G480</f>
        <v>11714.66543632</v>
      </c>
    </row>
    <row r="481" spans="1:12" s="69" customFormat="1" ht="27.6" customHeight="1" x14ac:dyDescent="0.3">
      <c r="A481" s="68">
        <v>7</v>
      </c>
      <c r="B481" s="74" t="s">
        <v>139</v>
      </c>
      <c r="C481" s="75" t="s">
        <v>111</v>
      </c>
      <c r="D481" s="75"/>
      <c r="E481" s="76">
        <v>20</v>
      </c>
      <c r="F481" s="106"/>
      <c r="G481" s="76"/>
      <c r="H481" s="76"/>
      <c r="I481" s="76"/>
      <c r="J481" s="76"/>
      <c r="K481" s="76"/>
      <c r="L481" s="77"/>
    </row>
    <row r="482" spans="1:12" s="69" customFormat="1" ht="13.95" customHeight="1" x14ac:dyDescent="0.3">
      <c r="A482" s="78"/>
      <c r="B482" s="24" t="s">
        <v>8</v>
      </c>
      <c r="C482" s="79" t="s">
        <v>7</v>
      </c>
      <c r="D482" s="79">
        <v>1</v>
      </c>
      <c r="E482" s="58">
        <f>E481*D482</f>
        <v>20</v>
      </c>
      <c r="F482" s="106"/>
      <c r="G482" s="56"/>
      <c r="H482" s="58">
        <f>50/0.8/0.98</f>
        <v>63.775510204081634</v>
      </c>
      <c r="I482" s="58">
        <f>H482*E482</f>
        <v>1275.5102040816328</v>
      </c>
      <c r="J482" s="58"/>
      <c r="K482" s="58"/>
      <c r="L482" s="57">
        <f>K482+I482+G482</f>
        <v>1275.5102040816328</v>
      </c>
    </row>
    <row r="483" spans="1:12" s="69" customFormat="1" ht="13.95" customHeight="1" x14ac:dyDescent="0.3">
      <c r="A483" s="78"/>
      <c r="B483" s="24" t="s">
        <v>10</v>
      </c>
      <c r="C483" s="79" t="s">
        <v>15</v>
      </c>
      <c r="D483" s="79">
        <f>0.08*0.1</f>
        <v>8.0000000000000002E-3</v>
      </c>
      <c r="E483" s="58">
        <f>D483*E481</f>
        <v>0.16</v>
      </c>
      <c r="F483" s="106"/>
      <c r="G483" s="56"/>
      <c r="H483" s="58"/>
      <c r="I483" s="58"/>
      <c r="J483" s="58">
        <v>4</v>
      </c>
      <c r="K483" s="58">
        <f>J483*E483</f>
        <v>0.64</v>
      </c>
      <c r="L483" s="57">
        <f>K483+I483+G483</f>
        <v>0.64</v>
      </c>
    </row>
    <row r="484" spans="1:12" s="69" customFormat="1" ht="13.95" customHeight="1" x14ac:dyDescent="0.3">
      <c r="A484" s="78"/>
      <c r="B484" s="24" t="s">
        <v>12</v>
      </c>
      <c r="C484" s="79"/>
      <c r="D484" s="79"/>
      <c r="E484" s="58"/>
      <c r="F484" s="106"/>
      <c r="G484" s="56"/>
      <c r="H484" s="58"/>
      <c r="I484" s="58"/>
      <c r="J484" s="58"/>
      <c r="K484" s="58"/>
      <c r="L484" s="57">
        <f>K484+I484+G484</f>
        <v>0</v>
      </c>
    </row>
    <row r="485" spans="1:12" s="69" customFormat="1" ht="13.95" customHeight="1" x14ac:dyDescent="0.3">
      <c r="A485" s="78"/>
      <c r="B485" s="24" t="s">
        <v>140</v>
      </c>
      <c r="C485" s="79" t="s">
        <v>111</v>
      </c>
      <c r="D485" s="79">
        <v>1</v>
      </c>
      <c r="E485" s="58">
        <f>D485*E481</f>
        <v>20</v>
      </c>
      <c r="F485" s="106">
        <v>36.955072000000001</v>
      </c>
      <c r="G485" s="56">
        <f>F485*E485</f>
        <v>739.10144000000003</v>
      </c>
      <c r="H485" s="58"/>
      <c r="I485" s="58"/>
      <c r="J485" s="58"/>
      <c r="K485" s="58"/>
      <c r="L485" s="57">
        <f>K485+I485+G485</f>
        <v>739.10144000000003</v>
      </c>
    </row>
    <row r="486" spans="1:12" s="69" customFormat="1" ht="13.95" customHeight="1" x14ac:dyDescent="0.3">
      <c r="A486" s="78"/>
      <c r="B486" s="24" t="s">
        <v>127</v>
      </c>
      <c r="C486" s="79" t="s">
        <v>111</v>
      </c>
      <c r="D486" s="79">
        <v>1</v>
      </c>
      <c r="E486" s="58">
        <f>D486*E481</f>
        <v>20</v>
      </c>
      <c r="F486" s="106">
        <v>32.335688000000005</v>
      </c>
      <c r="G486" s="56">
        <f>F486*E486</f>
        <v>646.71376000000009</v>
      </c>
      <c r="H486" s="58"/>
      <c r="I486" s="58"/>
      <c r="J486" s="58"/>
      <c r="K486" s="58"/>
      <c r="L486" s="57">
        <f>K486+I486+G486</f>
        <v>646.71376000000009</v>
      </c>
    </row>
    <row r="487" spans="1:12" s="69" customFormat="1" ht="13.95" customHeight="1" x14ac:dyDescent="0.3">
      <c r="A487" s="68">
        <v>8</v>
      </c>
      <c r="B487" s="74" t="s">
        <v>153</v>
      </c>
      <c r="C487" s="75" t="s">
        <v>33</v>
      </c>
      <c r="D487" s="75"/>
      <c r="E487" s="104">
        <f>(2.35+1.8+2.25+1.8+1.8+2.8+1.8)*6*1.2+(1.8+2.1+1.9+1.8+1.8+1.8)*6*1.2+2.2*3*1.2</f>
        <v>193.67999999999998</v>
      </c>
      <c r="F487" s="106"/>
      <c r="G487" s="76"/>
      <c r="H487" s="76"/>
      <c r="I487" s="76"/>
      <c r="J487" s="76"/>
      <c r="K487" s="76"/>
      <c r="L487" s="77"/>
    </row>
    <row r="488" spans="1:12" s="69" customFormat="1" ht="13.95" customHeight="1" x14ac:dyDescent="0.3">
      <c r="A488" s="78"/>
      <c r="B488" s="24" t="s">
        <v>8</v>
      </c>
      <c r="C488" s="79" t="s">
        <v>33</v>
      </c>
      <c r="D488" s="79">
        <v>1</v>
      </c>
      <c r="E488" s="58">
        <f>E487*D488</f>
        <v>193.67999999999998</v>
      </c>
      <c r="F488" s="106"/>
      <c r="G488" s="56"/>
      <c r="H488" s="58">
        <f>30/0.8/0.98</f>
        <v>38.265306122448983</v>
      </c>
      <c r="I488" s="58">
        <f>H488*E488</f>
        <v>7411.2244897959181</v>
      </c>
      <c r="J488" s="58"/>
      <c r="K488" s="58"/>
      <c r="L488" s="57">
        <f>K488+I488+G488</f>
        <v>7411.2244897959181</v>
      </c>
    </row>
    <row r="489" spans="1:12" s="69" customFormat="1" ht="13.95" customHeight="1" x14ac:dyDescent="0.3">
      <c r="A489" s="78"/>
      <c r="B489" s="24" t="s">
        <v>12</v>
      </c>
      <c r="C489" s="79"/>
      <c r="D489" s="79"/>
      <c r="E489" s="58"/>
      <c r="F489" s="106"/>
      <c r="G489" s="56"/>
      <c r="H489" s="58"/>
      <c r="I489" s="58"/>
      <c r="J489" s="58"/>
      <c r="K489" s="58"/>
      <c r="L489" s="57">
        <f>K489+I489+G489</f>
        <v>0</v>
      </c>
    </row>
    <row r="490" spans="1:12" s="69" customFormat="1" ht="13.95" customHeight="1" x14ac:dyDescent="0.3">
      <c r="A490" s="78"/>
      <c r="B490" s="24" t="s">
        <v>89</v>
      </c>
      <c r="C490" s="79" t="s">
        <v>33</v>
      </c>
      <c r="D490" s="79">
        <v>1</v>
      </c>
      <c r="E490" s="58">
        <f>D490*E487</f>
        <v>193.67999999999998</v>
      </c>
      <c r="F490" s="106">
        <v>98</v>
      </c>
      <c r="G490" s="56">
        <f>F490*E490</f>
        <v>18980.64</v>
      </c>
      <c r="H490" s="58"/>
      <c r="I490" s="58"/>
      <c r="J490" s="58"/>
      <c r="K490" s="58"/>
      <c r="L490" s="57">
        <f>K490+I490+G490</f>
        <v>18980.64</v>
      </c>
    </row>
    <row r="491" spans="1:12" s="69" customFormat="1" ht="13.95" customHeight="1" x14ac:dyDescent="0.3">
      <c r="A491" s="68">
        <v>9</v>
      </c>
      <c r="B491" s="74" t="s">
        <v>162</v>
      </c>
      <c r="C491" s="75" t="s">
        <v>33</v>
      </c>
      <c r="D491" s="75"/>
      <c r="E491" s="104">
        <f>(2+2.55+2.7+2.1+1.8+1.55+2.1)*7*2+(2.35+2.25+2.8)*11+(2.1+2.2+1.8+1.8)*11</f>
        <v>375.5</v>
      </c>
      <c r="F491" s="106"/>
      <c r="G491" s="76"/>
      <c r="H491" s="76"/>
      <c r="I491" s="76"/>
      <c r="J491" s="76"/>
      <c r="K491" s="76"/>
      <c r="L491" s="77"/>
    </row>
    <row r="492" spans="1:12" s="69" customFormat="1" ht="13.95" customHeight="1" x14ac:dyDescent="0.3">
      <c r="A492" s="78"/>
      <c r="B492" s="24" t="s">
        <v>8</v>
      </c>
      <c r="C492" s="79" t="s">
        <v>33</v>
      </c>
      <c r="D492" s="79">
        <v>1</v>
      </c>
      <c r="E492" s="58">
        <f>E491*D492</f>
        <v>375.5</v>
      </c>
      <c r="F492" s="106"/>
      <c r="G492" s="56"/>
      <c r="H492" s="58">
        <f>30/0.8/0.98</f>
        <v>38.265306122448983</v>
      </c>
      <c r="I492" s="58">
        <f>H492*E492</f>
        <v>14368.622448979593</v>
      </c>
      <c r="J492" s="58"/>
      <c r="K492" s="58"/>
      <c r="L492" s="57">
        <f>K492+I492+G492</f>
        <v>14368.622448979593</v>
      </c>
    </row>
    <row r="493" spans="1:12" s="69" customFormat="1" ht="13.95" customHeight="1" x14ac:dyDescent="0.3">
      <c r="A493" s="78"/>
      <c r="B493" s="24" t="s">
        <v>12</v>
      </c>
      <c r="C493" s="79"/>
      <c r="D493" s="79"/>
      <c r="E493" s="58"/>
      <c r="F493" s="106"/>
      <c r="G493" s="56"/>
      <c r="H493" s="58"/>
      <c r="I493" s="58"/>
      <c r="J493" s="58"/>
      <c r="K493" s="58"/>
      <c r="L493" s="57">
        <f>K493+I493+G493</f>
        <v>0</v>
      </c>
    </row>
    <row r="494" spans="1:12" s="69" customFormat="1" ht="13.95" customHeight="1" x14ac:dyDescent="0.3">
      <c r="A494" s="78"/>
      <c r="B494" s="24" t="s">
        <v>163</v>
      </c>
      <c r="C494" s="79" t="s">
        <v>33</v>
      </c>
      <c r="D494" s="79">
        <v>1</v>
      </c>
      <c r="E494" s="58">
        <f>D494*E491</f>
        <v>375.5</v>
      </c>
      <c r="F494" s="106">
        <v>130</v>
      </c>
      <c r="G494" s="56">
        <f>F494*E494</f>
        <v>48815</v>
      </c>
      <c r="H494" s="58"/>
      <c r="I494" s="58"/>
      <c r="J494" s="58"/>
      <c r="K494" s="58"/>
      <c r="L494" s="57">
        <f>K494+I494+G494</f>
        <v>48815</v>
      </c>
    </row>
    <row r="495" spans="1:12" s="69" customFormat="1" ht="31.5" customHeight="1" x14ac:dyDescent="0.3">
      <c r="A495" s="68">
        <v>10</v>
      </c>
      <c r="B495" s="74" t="s">
        <v>208</v>
      </c>
      <c r="C495" s="75" t="s">
        <v>30</v>
      </c>
      <c r="D495" s="75"/>
      <c r="E495" s="76">
        <f>8*40</f>
        <v>320</v>
      </c>
      <c r="F495" s="56">
        <f>100/1.18</f>
        <v>84.745762711864415</v>
      </c>
      <c r="G495" s="56">
        <f t="shared" ref="G495" si="43">F495*E495</f>
        <v>27118.644067796613</v>
      </c>
      <c r="H495" s="76">
        <f>30/0.8/0.98</f>
        <v>38.265306122448983</v>
      </c>
      <c r="I495" s="58">
        <f t="shared" ref="I495" si="44">H495*E495</f>
        <v>12244.897959183674</v>
      </c>
      <c r="J495" s="76"/>
      <c r="K495" s="76"/>
      <c r="L495" s="57">
        <f>K495+I495+G495</f>
        <v>39363.542026980285</v>
      </c>
    </row>
    <row r="496" spans="1:12" s="69" customFormat="1" ht="13.95" customHeight="1" x14ac:dyDescent="0.3">
      <c r="A496" s="68">
        <v>11</v>
      </c>
      <c r="B496" s="74" t="s">
        <v>206</v>
      </c>
      <c r="C496" s="75" t="s">
        <v>33</v>
      </c>
      <c r="D496" s="75"/>
      <c r="E496" s="76">
        <f>1203.3-200-21.1</f>
        <v>982.19999999999993</v>
      </c>
      <c r="F496" s="56"/>
      <c r="G496" s="76"/>
      <c r="H496" s="76"/>
      <c r="I496" s="76"/>
      <c r="J496" s="76"/>
      <c r="K496" s="76"/>
      <c r="L496" s="77"/>
    </row>
    <row r="497" spans="1:12" s="69" customFormat="1" ht="13.95" customHeight="1" x14ac:dyDescent="0.3">
      <c r="A497" s="78"/>
      <c r="B497" s="24" t="s">
        <v>8</v>
      </c>
      <c r="C497" s="79" t="s">
        <v>33</v>
      </c>
      <c r="D497" s="79">
        <v>1</v>
      </c>
      <c r="E497" s="58">
        <f>E496*D497</f>
        <v>982.19999999999993</v>
      </c>
      <c r="F497" s="56"/>
      <c r="G497" s="56"/>
      <c r="H497" s="58">
        <f>50/0.8/0.98</f>
        <v>63.775510204081634</v>
      </c>
      <c r="I497" s="58">
        <f>H497*E497</f>
        <v>62640.306122448979</v>
      </c>
      <c r="J497" s="58"/>
      <c r="K497" s="58"/>
      <c r="L497" s="57">
        <f t="shared" ref="L497:L501" si="45">K497+I497+G497</f>
        <v>62640.306122448979</v>
      </c>
    </row>
    <row r="498" spans="1:12" s="69" customFormat="1" ht="13.95" customHeight="1" x14ac:dyDescent="0.3">
      <c r="A498" s="78"/>
      <c r="B498" s="24" t="s">
        <v>12</v>
      </c>
      <c r="C498" s="79"/>
      <c r="D498" s="79"/>
      <c r="E498" s="58"/>
      <c r="F498" s="56"/>
      <c r="G498" s="56"/>
      <c r="H498" s="58"/>
      <c r="I498" s="58"/>
      <c r="J498" s="58"/>
      <c r="K498" s="58"/>
      <c r="L498" s="57">
        <f t="shared" si="45"/>
        <v>0</v>
      </c>
    </row>
    <row r="499" spans="1:12" s="69" customFormat="1" ht="13.95" customHeight="1" x14ac:dyDescent="0.3">
      <c r="A499" s="78"/>
      <c r="B499" s="24" t="s">
        <v>202</v>
      </c>
      <c r="C499" s="79" t="s">
        <v>33</v>
      </c>
      <c r="D499" s="79">
        <v>1</v>
      </c>
      <c r="E499" s="58">
        <f>D499*E496</f>
        <v>982.19999999999993</v>
      </c>
      <c r="F499" s="56">
        <v>185.73</v>
      </c>
      <c r="G499" s="56">
        <f t="shared" ref="G499:G501" si="46">F499*E499</f>
        <v>182424.00599999996</v>
      </c>
      <c r="H499" s="58"/>
      <c r="I499" s="58"/>
      <c r="J499" s="58"/>
      <c r="K499" s="58"/>
      <c r="L499" s="57">
        <f t="shared" si="45"/>
        <v>182424.00599999996</v>
      </c>
    </row>
    <row r="500" spans="1:12" s="69" customFormat="1" ht="13.95" customHeight="1" x14ac:dyDescent="0.3">
      <c r="A500" s="68">
        <v>12</v>
      </c>
      <c r="B500" s="74" t="s">
        <v>204</v>
      </c>
      <c r="C500" s="75" t="s">
        <v>7</v>
      </c>
      <c r="D500" s="75"/>
      <c r="E500" s="76">
        <v>87</v>
      </c>
      <c r="F500" s="56">
        <f>100*2.61/1.18</f>
        <v>221.18644067796612</v>
      </c>
      <c r="G500" s="56">
        <f t="shared" si="46"/>
        <v>19243.220338983054</v>
      </c>
      <c r="H500" s="56">
        <f>20/1.18*2.61</f>
        <v>44.237288135593218</v>
      </c>
      <c r="I500" s="58">
        <f t="shared" ref="I500:I501" si="47">H500*E500</f>
        <v>3848.6440677966098</v>
      </c>
      <c r="J500" s="76"/>
      <c r="K500" s="76"/>
      <c r="L500" s="57">
        <f t="shared" si="45"/>
        <v>23091.864406779663</v>
      </c>
    </row>
    <row r="501" spans="1:12" s="69" customFormat="1" ht="13.95" customHeight="1" x14ac:dyDescent="0.3">
      <c r="A501" s="68">
        <v>13</v>
      </c>
      <c r="B501" s="74" t="s">
        <v>203</v>
      </c>
      <c r="C501" s="75" t="s">
        <v>111</v>
      </c>
      <c r="D501" s="75"/>
      <c r="E501" s="76">
        <v>1</v>
      </c>
      <c r="F501" s="56">
        <f>33000*2.76</f>
        <v>91080</v>
      </c>
      <c r="G501" s="56">
        <f t="shared" si="46"/>
        <v>91080</v>
      </c>
      <c r="H501" s="76">
        <f>7000*2.76</f>
        <v>19320</v>
      </c>
      <c r="I501" s="58">
        <f t="shared" si="47"/>
        <v>19320</v>
      </c>
      <c r="J501" s="76"/>
      <c r="K501" s="76"/>
      <c r="L501" s="57">
        <f t="shared" si="45"/>
        <v>110400</v>
      </c>
    </row>
    <row r="502" spans="1:12" s="54" customFormat="1" ht="21" customHeight="1" x14ac:dyDescent="0.3">
      <c r="A502" s="49"/>
      <c r="B502" s="71" t="s">
        <v>130</v>
      </c>
      <c r="C502" s="50"/>
      <c r="D502" s="51"/>
      <c r="E502" s="51"/>
      <c r="F502" s="52"/>
      <c r="G502" s="51"/>
      <c r="H502" s="51"/>
      <c r="I502" s="51"/>
      <c r="J502" s="51"/>
      <c r="K502" s="51"/>
      <c r="L502" s="53"/>
    </row>
    <row r="503" spans="1:12" s="69" customFormat="1" ht="13.95" customHeight="1" x14ac:dyDescent="0.3">
      <c r="A503" s="68">
        <v>1</v>
      </c>
      <c r="B503" s="74" t="s">
        <v>131</v>
      </c>
      <c r="C503" s="75" t="s">
        <v>33</v>
      </c>
      <c r="D503" s="75"/>
      <c r="E503" s="76">
        <f>35*28.58+35*68.1</f>
        <v>3383.8</v>
      </c>
      <c r="F503" s="76"/>
      <c r="G503" s="76"/>
      <c r="H503" s="76"/>
      <c r="I503" s="76"/>
      <c r="J503" s="76"/>
      <c r="K503" s="76"/>
      <c r="L503" s="77"/>
    </row>
    <row r="504" spans="1:12" s="69" customFormat="1" ht="13.95" customHeight="1" x14ac:dyDescent="0.3">
      <c r="A504" s="78"/>
      <c r="B504" s="24" t="s">
        <v>8</v>
      </c>
      <c r="C504" s="79" t="s">
        <v>33</v>
      </c>
      <c r="D504" s="79">
        <v>1</v>
      </c>
      <c r="E504" s="58">
        <f>E503*D504</f>
        <v>3383.8</v>
      </c>
      <c r="F504" s="58"/>
      <c r="G504" s="56"/>
      <c r="H504" s="58">
        <f>8/0.8/0.98</f>
        <v>10.204081632653061</v>
      </c>
      <c r="I504" s="58">
        <f>H504*E504</f>
        <v>34528.571428571428</v>
      </c>
      <c r="J504" s="58"/>
      <c r="K504" s="58"/>
      <c r="L504" s="57">
        <f t="shared" ref="L504:L509" si="48">K504+I504+G504</f>
        <v>34528.571428571428</v>
      </c>
    </row>
    <row r="505" spans="1:12" s="69" customFormat="1" ht="13.95" customHeight="1" x14ac:dyDescent="0.3">
      <c r="A505" s="78"/>
      <c r="B505" s="24" t="s">
        <v>10</v>
      </c>
      <c r="C505" s="79" t="s">
        <v>15</v>
      </c>
      <c r="D505" s="79">
        <v>0.03</v>
      </c>
      <c r="E505" s="58">
        <f>D505*E503</f>
        <v>101.514</v>
      </c>
      <c r="F505" s="58"/>
      <c r="G505" s="56"/>
      <c r="H505" s="58"/>
      <c r="I505" s="58"/>
      <c r="J505" s="58">
        <v>4</v>
      </c>
      <c r="K505" s="58">
        <f>J505*E505</f>
        <v>406.05599999999998</v>
      </c>
      <c r="L505" s="57">
        <f t="shared" si="48"/>
        <v>406.05599999999998</v>
      </c>
    </row>
    <row r="506" spans="1:12" s="69" customFormat="1" ht="13.95" customHeight="1" x14ac:dyDescent="0.3">
      <c r="A506" s="78"/>
      <c r="B506" s="24" t="s">
        <v>12</v>
      </c>
      <c r="C506" s="79"/>
      <c r="D506" s="79"/>
      <c r="E506" s="58"/>
      <c r="F506" s="58"/>
      <c r="G506" s="56"/>
      <c r="H506" s="58"/>
      <c r="I506" s="58"/>
      <c r="J506" s="58"/>
      <c r="K506" s="58"/>
      <c r="L506" s="57">
        <f t="shared" si="48"/>
        <v>0</v>
      </c>
    </row>
    <row r="507" spans="1:12" s="69" customFormat="1" ht="13.95" customHeight="1" x14ac:dyDescent="0.3">
      <c r="A507" s="78"/>
      <c r="B507" s="24" t="s">
        <v>58</v>
      </c>
      <c r="C507" s="79" t="s">
        <v>33</v>
      </c>
      <c r="D507" s="79">
        <v>1.05</v>
      </c>
      <c r="E507" s="58">
        <f>D507*E503</f>
        <v>3552.9900000000002</v>
      </c>
      <c r="F507" s="58">
        <f>14/1.18</f>
        <v>11.864406779661017</v>
      </c>
      <c r="G507" s="56">
        <f>F507*E507</f>
        <v>42154.118644067799</v>
      </c>
      <c r="H507" s="58"/>
      <c r="I507" s="58"/>
      <c r="J507" s="58"/>
      <c r="K507" s="58"/>
      <c r="L507" s="57">
        <f t="shared" si="48"/>
        <v>42154.118644067799</v>
      </c>
    </row>
    <row r="508" spans="1:12" s="69" customFormat="1" ht="13.95" customHeight="1" x14ac:dyDescent="0.3">
      <c r="A508" s="78"/>
      <c r="B508" s="24" t="s">
        <v>38</v>
      </c>
      <c r="C508" s="79" t="s">
        <v>13</v>
      </c>
      <c r="D508" s="79">
        <v>6</v>
      </c>
      <c r="E508" s="58">
        <f>D508*E503</f>
        <v>20302.800000000003</v>
      </c>
      <c r="F508" s="58">
        <f>0.7/1.18</f>
        <v>0.59322033898305082</v>
      </c>
      <c r="G508" s="56">
        <f>F508*E508</f>
        <v>12044.033898305086</v>
      </c>
      <c r="H508" s="58"/>
      <c r="I508" s="58"/>
      <c r="J508" s="58"/>
      <c r="K508" s="58"/>
      <c r="L508" s="57">
        <f t="shared" si="48"/>
        <v>12044.033898305086</v>
      </c>
    </row>
    <row r="509" spans="1:12" s="69" customFormat="1" ht="13.95" customHeight="1" x14ac:dyDescent="0.3">
      <c r="A509" s="78"/>
      <c r="B509" s="24" t="s">
        <v>14</v>
      </c>
      <c r="C509" s="79" t="s">
        <v>15</v>
      </c>
      <c r="D509" s="79">
        <v>0.16</v>
      </c>
      <c r="E509" s="58">
        <f>D509*E503</f>
        <v>541.40800000000002</v>
      </c>
      <c r="F509" s="58">
        <v>4</v>
      </c>
      <c r="G509" s="56">
        <f>F509*E509</f>
        <v>2165.6320000000001</v>
      </c>
      <c r="H509" s="58"/>
      <c r="I509" s="58"/>
      <c r="J509" s="58"/>
      <c r="K509" s="58"/>
      <c r="L509" s="57">
        <f t="shared" si="48"/>
        <v>2165.6320000000001</v>
      </c>
    </row>
    <row r="510" spans="1:12" s="69" customFormat="1" ht="30" customHeight="1" x14ac:dyDescent="0.3">
      <c r="A510" s="68">
        <v>2</v>
      </c>
      <c r="B510" s="74" t="s">
        <v>133</v>
      </c>
      <c r="C510" s="75" t="s">
        <v>7</v>
      </c>
      <c r="D510" s="75"/>
      <c r="E510" s="76">
        <f>(50+6.4)*17+(52.7+41.65)*7</f>
        <v>1619.25</v>
      </c>
      <c r="F510" s="76"/>
      <c r="G510" s="76"/>
      <c r="H510" s="76"/>
      <c r="I510" s="76"/>
      <c r="J510" s="76"/>
      <c r="K510" s="76"/>
      <c r="L510" s="77"/>
    </row>
    <row r="511" spans="1:12" s="69" customFormat="1" ht="13.95" customHeight="1" x14ac:dyDescent="0.3">
      <c r="A511" s="78"/>
      <c r="B511" s="24" t="s">
        <v>8</v>
      </c>
      <c r="C511" s="79" t="s">
        <v>7</v>
      </c>
      <c r="D511" s="79">
        <v>1</v>
      </c>
      <c r="E511" s="58">
        <f>E510*D511</f>
        <v>1619.25</v>
      </c>
      <c r="F511" s="58"/>
      <c r="G511" s="56"/>
      <c r="H511" s="58">
        <f>5/0.8/0.98</f>
        <v>6.3775510204081636</v>
      </c>
      <c r="I511" s="58">
        <f>H511*E511</f>
        <v>10326.849489795919</v>
      </c>
      <c r="J511" s="58"/>
      <c r="K511" s="58"/>
      <c r="L511" s="57">
        <f>K511+I511+G511</f>
        <v>10326.849489795919</v>
      </c>
    </row>
    <row r="512" spans="1:12" s="69" customFormat="1" ht="13.95" customHeight="1" x14ac:dyDescent="0.3">
      <c r="A512" s="78"/>
      <c r="B512" s="24" t="s">
        <v>10</v>
      </c>
      <c r="C512" s="79" t="s">
        <v>15</v>
      </c>
      <c r="D512" s="79">
        <v>0.03</v>
      </c>
      <c r="E512" s="58">
        <f>D512*E510</f>
        <v>48.577500000000001</v>
      </c>
      <c r="F512" s="58"/>
      <c r="G512" s="56"/>
      <c r="H512" s="58"/>
      <c r="I512" s="58"/>
      <c r="J512" s="58">
        <v>4</v>
      </c>
      <c r="K512" s="58">
        <f>J512*E512</f>
        <v>194.31</v>
      </c>
      <c r="L512" s="57">
        <f>K512+I512+G512</f>
        <v>194.31</v>
      </c>
    </row>
    <row r="513" spans="1:12" s="69" customFormat="1" ht="13.95" customHeight="1" x14ac:dyDescent="0.3">
      <c r="A513" s="78"/>
      <c r="B513" s="24" t="s">
        <v>12</v>
      </c>
      <c r="C513" s="79"/>
      <c r="D513" s="79"/>
      <c r="E513" s="58"/>
      <c r="F513" s="58"/>
      <c r="G513" s="56"/>
      <c r="H513" s="58"/>
      <c r="I513" s="58"/>
      <c r="J513" s="58"/>
      <c r="K513" s="58"/>
      <c r="L513" s="57">
        <f>K513+I513+G513</f>
        <v>0</v>
      </c>
    </row>
    <row r="514" spans="1:12" s="69" customFormat="1" ht="13.95" customHeight="1" x14ac:dyDescent="0.3">
      <c r="A514" s="78"/>
      <c r="B514" s="24" t="s">
        <v>134</v>
      </c>
      <c r="C514" s="79" t="s">
        <v>7</v>
      </c>
      <c r="D514" s="79">
        <v>1.05</v>
      </c>
      <c r="E514" s="58">
        <f>D514*E510</f>
        <v>1700.2125000000001</v>
      </c>
      <c r="F514" s="58">
        <f>60/1.18</f>
        <v>50.847457627118644</v>
      </c>
      <c r="G514" s="56">
        <f>F514*E514</f>
        <v>86451.483050847455</v>
      </c>
      <c r="H514" s="58"/>
      <c r="I514" s="58"/>
      <c r="J514" s="58"/>
      <c r="K514" s="58"/>
      <c r="L514" s="57">
        <f>K514+I514+G514</f>
        <v>86451.483050847455</v>
      </c>
    </row>
    <row r="515" spans="1:12" s="69" customFormat="1" ht="13.95" customHeight="1" x14ac:dyDescent="0.3">
      <c r="A515" s="78"/>
      <c r="B515" s="24" t="s">
        <v>14</v>
      </c>
      <c r="C515" s="79" t="s">
        <v>15</v>
      </c>
      <c r="D515" s="79">
        <v>0.16</v>
      </c>
      <c r="E515" s="58">
        <f>D515*E510</f>
        <v>259.08</v>
      </c>
      <c r="F515" s="58">
        <v>4</v>
      </c>
      <c r="G515" s="56">
        <f>F515*E515</f>
        <v>1036.32</v>
      </c>
      <c r="H515" s="58"/>
      <c r="I515" s="58"/>
      <c r="J515" s="58"/>
      <c r="K515" s="58"/>
      <c r="L515" s="57">
        <f>K515+I515+G515</f>
        <v>1036.32</v>
      </c>
    </row>
    <row r="516" spans="1:12" s="69" customFormat="1" ht="27.6" customHeight="1" x14ac:dyDescent="0.3">
      <c r="A516" s="68">
        <f>A510+1</f>
        <v>3</v>
      </c>
      <c r="B516" s="74" t="s">
        <v>135</v>
      </c>
      <c r="C516" s="75" t="s">
        <v>7</v>
      </c>
      <c r="D516" s="75"/>
      <c r="E516" s="76">
        <v>265</v>
      </c>
      <c r="F516" s="76"/>
      <c r="G516" s="76"/>
      <c r="H516" s="76"/>
      <c r="I516" s="76"/>
      <c r="J516" s="76"/>
      <c r="K516" s="76"/>
      <c r="L516" s="77"/>
    </row>
    <row r="517" spans="1:12" s="69" customFormat="1" ht="13.95" customHeight="1" x14ac:dyDescent="0.3">
      <c r="A517" s="78"/>
      <c r="B517" s="24" t="s">
        <v>8</v>
      </c>
      <c r="C517" s="79" t="s">
        <v>7</v>
      </c>
      <c r="D517" s="79">
        <v>1</v>
      </c>
      <c r="E517" s="58">
        <f>E516*D517</f>
        <v>265</v>
      </c>
      <c r="F517" s="58"/>
      <c r="G517" s="56"/>
      <c r="H517" s="58">
        <f>50/0.8/0.98</f>
        <v>63.775510204081634</v>
      </c>
      <c r="I517" s="58">
        <f>H517*E517</f>
        <v>16900.510204081635</v>
      </c>
      <c r="J517" s="58"/>
      <c r="K517" s="58"/>
      <c r="L517" s="57">
        <f>K517+I517+G517</f>
        <v>16900.510204081635</v>
      </c>
    </row>
    <row r="518" spans="1:12" s="69" customFormat="1" ht="13.95" customHeight="1" x14ac:dyDescent="0.3">
      <c r="A518" s="78"/>
      <c r="B518" s="24" t="s">
        <v>10</v>
      </c>
      <c r="C518" s="79" t="s">
        <v>15</v>
      </c>
      <c r="D518" s="79">
        <v>0.03</v>
      </c>
      <c r="E518" s="58">
        <f>D518*E516</f>
        <v>7.9499999999999993</v>
      </c>
      <c r="F518" s="58"/>
      <c r="G518" s="56"/>
      <c r="H518" s="58"/>
      <c r="I518" s="58"/>
      <c r="J518" s="58">
        <v>4</v>
      </c>
      <c r="K518" s="58">
        <f>J518*E518</f>
        <v>31.799999999999997</v>
      </c>
      <c r="L518" s="57">
        <f>K518+I518+G518</f>
        <v>31.799999999999997</v>
      </c>
    </row>
    <row r="519" spans="1:12" s="69" customFormat="1" ht="13.95" customHeight="1" x14ac:dyDescent="0.3">
      <c r="A519" s="78"/>
      <c r="B519" s="24" t="s">
        <v>12</v>
      </c>
      <c r="C519" s="79"/>
      <c r="D519" s="79"/>
      <c r="E519" s="58"/>
      <c r="F519" s="58"/>
      <c r="G519" s="56"/>
      <c r="H519" s="58"/>
      <c r="I519" s="58"/>
      <c r="J519" s="58"/>
      <c r="K519" s="58"/>
      <c r="L519" s="57">
        <f>K519+I519+G519</f>
        <v>0</v>
      </c>
    </row>
    <row r="520" spans="1:12" s="69" customFormat="1" ht="13.95" customHeight="1" x14ac:dyDescent="0.3">
      <c r="A520" s="78"/>
      <c r="B520" s="24" t="s">
        <v>136</v>
      </c>
      <c r="C520" s="79" t="s">
        <v>7</v>
      </c>
      <c r="D520" s="79">
        <v>1.05</v>
      </c>
      <c r="E520" s="58">
        <f>D520*E516</f>
        <v>278.25</v>
      </c>
      <c r="F520" s="58">
        <f>200/1.18</f>
        <v>169.49152542372883</v>
      </c>
      <c r="G520" s="56">
        <f>F520*E520</f>
        <v>47161.016949152545</v>
      </c>
      <c r="H520" s="58"/>
      <c r="I520" s="58"/>
      <c r="J520" s="58"/>
      <c r="K520" s="58"/>
      <c r="L520" s="57">
        <f>K520+I520+G520</f>
        <v>47161.016949152545</v>
      </c>
    </row>
    <row r="521" spans="1:12" s="69" customFormat="1" ht="13.95" customHeight="1" x14ac:dyDescent="0.3">
      <c r="A521" s="78"/>
      <c r="B521" s="24" t="s">
        <v>14</v>
      </c>
      <c r="C521" s="79" t="s">
        <v>15</v>
      </c>
      <c r="D521" s="79">
        <v>0.16</v>
      </c>
      <c r="E521" s="58">
        <f>D521*E516</f>
        <v>42.4</v>
      </c>
      <c r="F521" s="58">
        <v>4</v>
      </c>
      <c r="G521" s="56">
        <f>F521*E521</f>
        <v>169.6</v>
      </c>
      <c r="H521" s="58"/>
      <c r="I521" s="58"/>
      <c r="J521" s="58"/>
      <c r="K521" s="58"/>
      <c r="L521" s="57">
        <f>K521+I521+G521</f>
        <v>169.6</v>
      </c>
    </row>
    <row r="522" spans="1:12" s="69" customFormat="1" ht="27.6" customHeight="1" x14ac:dyDescent="0.3">
      <c r="A522" s="68">
        <f>A516+1</f>
        <v>4</v>
      </c>
      <c r="B522" s="74" t="s">
        <v>137</v>
      </c>
      <c r="C522" s="75" t="s">
        <v>9</v>
      </c>
      <c r="D522" s="75"/>
      <c r="E522" s="76">
        <v>19</v>
      </c>
      <c r="F522" s="76"/>
      <c r="G522" s="76"/>
      <c r="H522" s="76"/>
      <c r="I522" s="76"/>
      <c r="J522" s="76"/>
      <c r="K522" s="76"/>
      <c r="L522" s="77"/>
    </row>
    <row r="523" spans="1:12" s="69" customFormat="1" ht="13.95" customHeight="1" x14ac:dyDescent="0.3">
      <c r="A523" s="78"/>
      <c r="B523" s="24" t="s">
        <v>8</v>
      </c>
      <c r="C523" s="79" t="s">
        <v>9</v>
      </c>
      <c r="D523" s="79">
        <v>1</v>
      </c>
      <c r="E523" s="58">
        <f>E522*D523</f>
        <v>19</v>
      </c>
      <c r="F523" s="58"/>
      <c r="G523" s="56"/>
      <c r="H523" s="58">
        <f>50/0.8/0.98</f>
        <v>63.775510204081634</v>
      </c>
      <c r="I523" s="58">
        <f>H523*E523</f>
        <v>1211.7346938775511</v>
      </c>
      <c r="J523" s="58"/>
      <c r="K523" s="58"/>
      <c r="L523" s="57">
        <f>K523+I523+G523</f>
        <v>1211.7346938775511</v>
      </c>
    </row>
    <row r="524" spans="1:12" s="69" customFormat="1" ht="13.95" customHeight="1" x14ac:dyDescent="0.3">
      <c r="A524" s="78"/>
      <c r="B524" s="24" t="s">
        <v>10</v>
      </c>
      <c r="C524" s="79" t="s">
        <v>15</v>
      </c>
      <c r="D524" s="79">
        <v>0.03</v>
      </c>
      <c r="E524" s="58">
        <f>D524*E522</f>
        <v>0.56999999999999995</v>
      </c>
      <c r="F524" s="58"/>
      <c r="G524" s="56"/>
      <c r="H524" s="58"/>
      <c r="I524" s="58"/>
      <c r="J524" s="58">
        <v>4</v>
      </c>
      <c r="K524" s="58">
        <f>J524*E524</f>
        <v>2.2799999999999998</v>
      </c>
      <c r="L524" s="57">
        <f>K524+I524+G524</f>
        <v>2.2799999999999998</v>
      </c>
    </row>
    <row r="525" spans="1:12" s="69" customFormat="1" ht="13.95" customHeight="1" x14ac:dyDescent="0.3">
      <c r="A525" s="78"/>
      <c r="B525" s="24" t="s">
        <v>12</v>
      </c>
      <c r="C525" s="79"/>
      <c r="D525" s="79"/>
      <c r="E525" s="58"/>
      <c r="F525" s="58"/>
      <c r="G525" s="56"/>
      <c r="H525" s="58"/>
      <c r="I525" s="58"/>
      <c r="J525" s="58"/>
      <c r="K525" s="58"/>
      <c r="L525" s="57">
        <f>K525+I525+G525</f>
        <v>0</v>
      </c>
    </row>
    <row r="526" spans="1:12" s="69" customFormat="1" ht="13.95" customHeight="1" x14ac:dyDescent="0.3">
      <c r="A526" s="78"/>
      <c r="B526" s="24" t="s">
        <v>136</v>
      </c>
      <c r="C526" s="79" t="s">
        <v>9</v>
      </c>
      <c r="D526" s="79">
        <v>1</v>
      </c>
      <c r="E526" s="58">
        <f>D526*E522</f>
        <v>19</v>
      </c>
      <c r="F526" s="58">
        <f>500/1.18</f>
        <v>423.72881355932208</v>
      </c>
      <c r="G526" s="56">
        <f>F526*E526</f>
        <v>8050.8474576271192</v>
      </c>
      <c r="H526" s="58"/>
      <c r="I526" s="58"/>
      <c r="J526" s="58"/>
      <c r="K526" s="58"/>
      <c r="L526" s="57">
        <f>K526+I526+G526</f>
        <v>8050.8474576271192</v>
      </c>
    </row>
    <row r="527" spans="1:12" s="69" customFormat="1" ht="13.95" customHeight="1" x14ac:dyDescent="0.3">
      <c r="A527" s="78"/>
      <c r="B527" s="24" t="s">
        <v>14</v>
      </c>
      <c r="C527" s="79" t="s">
        <v>15</v>
      </c>
      <c r="D527" s="79">
        <v>0.16</v>
      </c>
      <c r="E527" s="58">
        <f>D527*E522</f>
        <v>3.04</v>
      </c>
      <c r="F527" s="58">
        <v>4</v>
      </c>
      <c r="G527" s="56">
        <f>F527*E527</f>
        <v>12.16</v>
      </c>
      <c r="H527" s="58"/>
      <c r="I527" s="58"/>
      <c r="J527" s="58"/>
      <c r="K527" s="58"/>
      <c r="L527" s="57">
        <f>K527+I527+G527</f>
        <v>12.16</v>
      </c>
    </row>
    <row r="528" spans="1:12" s="54" customFormat="1" ht="21.75" customHeight="1" x14ac:dyDescent="0.3">
      <c r="A528" s="49"/>
      <c r="B528" s="71" t="s">
        <v>100</v>
      </c>
      <c r="C528" s="50"/>
      <c r="D528" s="51"/>
      <c r="E528" s="51"/>
      <c r="F528" s="52"/>
      <c r="G528" s="51"/>
      <c r="H528" s="51"/>
      <c r="I528" s="51"/>
      <c r="J528" s="51"/>
      <c r="K528" s="51"/>
      <c r="L528" s="53"/>
    </row>
    <row r="529" spans="1:12" s="69" customFormat="1" ht="27.6" customHeight="1" x14ac:dyDescent="0.3">
      <c r="A529" s="68">
        <v>1</v>
      </c>
      <c r="B529" s="74" t="s">
        <v>114</v>
      </c>
      <c r="C529" s="75" t="s">
        <v>33</v>
      </c>
      <c r="D529" s="75"/>
      <c r="E529" s="96">
        <f>(869+396.9)*1.1</f>
        <v>1392.4900000000002</v>
      </c>
      <c r="F529" s="76"/>
      <c r="G529" s="76"/>
      <c r="H529" s="76"/>
      <c r="I529" s="76"/>
      <c r="J529" s="76"/>
      <c r="K529" s="76"/>
      <c r="L529" s="77"/>
    </row>
    <row r="530" spans="1:12" s="69" customFormat="1" ht="13.95" customHeight="1" x14ac:dyDescent="0.3">
      <c r="A530" s="78"/>
      <c r="B530" s="24" t="s">
        <v>8</v>
      </c>
      <c r="C530" s="79" t="s">
        <v>33</v>
      </c>
      <c r="D530" s="79">
        <v>1</v>
      </c>
      <c r="E530" s="58">
        <f>E529*D530</f>
        <v>1392.4900000000002</v>
      </c>
      <c r="F530" s="58"/>
      <c r="G530" s="58"/>
      <c r="H530" s="58">
        <f>6/0.8/0.98</f>
        <v>7.6530612244897958</v>
      </c>
      <c r="I530" s="58">
        <f>H530*E530</f>
        <v>10656.811224489798</v>
      </c>
      <c r="J530" s="58"/>
      <c r="K530" s="58"/>
      <c r="L530" s="57">
        <f>K530+I530+G530</f>
        <v>10656.811224489798</v>
      </c>
    </row>
    <row r="531" spans="1:12" s="69" customFormat="1" ht="13.95" customHeight="1" x14ac:dyDescent="0.3">
      <c r="A531" s="78"/>
      <c r="B531" s="24" t="s">
        <v>10</v>
      </c>
      <c r="C531" s="79" t="s">
        <v>15</v>
      </c>
      <c r="D531" s="79">
        <v>1.7000000000000001E-2</v>
      </c>
      <c r="E531" s="58">
        <f>D531*E529</f>
        <v>23.672330000000006</v>
      </c>
      <c r="F531" s="58"/>
      <c r="G531" s="58"/>
      <c r="H531" s="58"/>
      <c r="I531" s="58"/>
      <c r="J531" s="58">
        <v>4</v>
      </c>
      <c r="K531" s="58">
        <f>J531*E531</f>
        <v>94.689320000000023</v>
      </c>
      <c r="L531" s="57">
        <f>K531+I531+G531</f>
        <v>94.689320000000023</v>
      </c>
    </row>
    <row r="532" spans="1:12" s="69" customFormat="1" ht="13.95" customHeight="1" x14ac:dyDescent="0.3">
      <c r="A532" s="78"/>
      <c r="B532" s="24" t="s">
        <v>12</v>
      </c>
      <c r="C532" s="79"/>
      <c r="D532" s="79"/>
      <c r="E532" s="58"/>
      <c r="F532" s="58"/>
      <c r="G532" s="58"/>
      <c r="H532" s="58"/>
      <c r="I532" s="58"/>
      <c r="J532" s="58"/>
      <c r="K532" s="58"/>
      <c r="L532" s="57">
        <f>K532+I532+G532</f>
        <v>0</v>
      </c>
    </row>
    <row r="533" spans="1:12" s="69" customFormat="1" ht="13.95" customHeight="1" x14ac:dyDescent="0.3">
      <c r="A533" s="78"/>
      <c r="B533" s="24" t="s">
        <v>115</v>
      </c>
      <c r="C533" s="79" t="s">
        <v>33</v>
      </c>
      <c r="D533" s="79">
        <v>1.05</v>
      </c>
      <c r="E533" s="58">
        <f>D533*E529</f>
        <v>1462.1145000000004</v>
      </c>
      <c r="F533" s="56">
        <f>28/1.18</f>
        <v>23.728813559322035</v>
      </c>
      <c r="G533" s="56">
        <f>F533*E533</f>
        <v>34694.242372881366</v>
      </c>
      <c r="H533" s="58"/>
      <c r="I533" s="58"/>
      <c r="J533" s="58"/>
      <c r="K533" s="58"/>
      <c r="L533" s="57">
        <f>K533+I533+G533</f>
        <v>34694.242372881366</v>
      </c>
    </row>
    <row r="534" spans="1:12" s="69" customFormat="1" ht="13.95" customHeight="1" x14ac:dyDescent="0.3">
      <c r="A534" s="78"/>
      <c r="B534" s="24" t="s">
        <v>14</v>
      </c>
      <c r="C534" s="79" t="s">
        <v>15</v>
      </c>
      <c r="D534" s="79">
        <v>0.06</v>
      </c>
      <c r="E534" s="58">
        <f>D534*E529</f>
        <v>83.549400000000006</v>
      </c>
      <c r="F534" s="58">
        <v>4</v>
      </c>
      <c r="G534" s="56">
        <f>F534*E534</f>
        <v>334.19760000000002</v>
      </c>
      <c r="H534" s="58"/>
      <c r="I534" s="58"/>
      <c r="J534" s="58"/>
      <c r="K534" s="58"/>
      <c r="L534" s="57">
        <f>K534+I534+G534</f>
        <v>334.19760000000002</v>
      </c>
    </row>
    <row r="535" spans="1:12" s="69" customFormat="1" ht="13.95" customHeight="1" x14ac:dyDescent="0.3">
      <c r="A535" s="68">
        <f>A529+1</f>
        <v>2</v>
      </c>
      <c r="B535" s="74" t="s">
        <v>108</v>
      </c>
      <c r="C535" s="75" t="s">
        <v>33</v>
      </c>
      <c r="D535" s="75"/>
      <c r="E535" s="76">
        <f>E529</f>
        <v>1392.4900000000002</v>
      </c>
      <c r="F535" s="76"/>
      <c r="G535" s="76"/>
      <c r="H535" s="76"/>
      <c r="I535" s="76"/>
      <c r="J535" s="76"/>
      <c r="K535" s="76"/>
      <c r="L535" s="77"/>
    </row>
    <row r="536" spans="1:12" s="69" customFormat="1" ht="13.95" customHeight="1" x14ac:dyDescent="0.3">
      <c r="A536" s="78"/>
      <c r="B536" s="24" t="s">
        <v>8</v>
      </c>
      <c r="C536" s="79" t="s">
        <v>33</v>
      </c>
      <c r="D536" s="79">
        <v>1</v>
      </c>
      <c r="E536" s="58">
        <f>E535*D536</f>
        <v>1392.4900000000002</v>
      </c>
      <c r="F536" s="58"/>
      <c r="G536" s="58"/>
      <c r="H536" s="58">
        <f>5/1.18</f>
        <v>4.2372881355932206</v>
      </c>
      <c r="I536" s="58">
        <f>H536*E536</f>
        <v>5900.3813559322043</v>
      </c>
      <c r="J536" s="58"/>
      <c r="K536" s="58"/>
      <c r="L536" s="57">
        <f>K536+I536+G536</f>
        <v>5900.3813559322043</v>
      </c>
    </row>
    <row r="537" spans="1:12" s="69" customFormat="1" ht="13.95" customHeight="1" x14ac:dyDescent="0.3">
      <c r="A537" s="78"/>
      <c r="B537" s="24" t="s">
        <v>10</v>
      </c>
      <c r="C537" s="79" t="s">
        <v>15</v>
      </c>
      <c r="D537" s="79">
        <v>1.7000000000000001E-2</v>
      </c>
      <c r="E537" s="58">
        <f>D537*E535</f>
        <v>23.672330000000006</v>
      </c>
      <c r="F537" s="58"/>
      <c r="G537" s="58"/>
      <c r="H537" s="58"/>
      <c r="I537" s="58"/>
      <c r="J537" s="58">
        <v>4</v>
      </c>
      <c r="K537" s="58">
        <f>J537*E537</f>
        <v>94.689320000000023</v>
      </c>
      <c r="L537" s="57">
        <f>K537+I537+G537</f>
        <v>94.689320000000023</v>
      </c>
    </row>
    <row r="538" spans="1:12" s="69" customFormat="1" ht="13.95" customHeight="1" x14ac:dyDescent="0.3">
      <c r="A538" s="78"/>
      <c r="B538" s="24" t="s">
        <v>12</v>
      </c>
      <c r="C538" s="79"/>
      <c r="D538" s="79"/>
      <c r="E538" s="58"/>
      <c r="F538" s="58"/>
      <c r="G538" s="58"/>
      <c r="H538" s="58"/>
      <c r="I538" s="58"/>
      <c r="J538" s="58"/>
      <c r="K538" s="58"/>
      <c r="L538" s="57">
        <f>K538+I538+G538</f>
        <v>0</v>
      </c>
    </row>
    <row r="539" spans="1:12" s="69" customFormat="1" ht="13.95" customHeight="1" x14ac:dyDescent="0.3">
      <c r="A539" s="78"/>
      <c r="B539" s="24" t="s">
        <v>74</v>
      </c>
      <c r="C539" s="79" t="s">
        <v>33</v>
      </c>
      <c r="D539" s="79">
        <v>1.05</v>
      </c>
      <c r="E539" s="58">
        <f>D539*E535</f>
        <v>1462.1145000000004</v>
      </c>
      <c r="F539" s="56">
        <f>360/75/1.18</f>
        <v>4.0677966101694913</v>
      </c>
      <c r="G539" s="56">
        <f>F539*E539</f>
        <v>5947.5844067796625</v>
      </c>
      <c r="H539" s="58"/>
      <c r="I539" s="58"/>
      <c r="J539" s="58"/>
      <c r="K539" s="58"/>
      <c r="L539" s="57">
        <f>K539+I539+G539</f>
        <v>5947.5844067796625</v>
      </c>
    </row>
    <row r="540" spans="1:12" s="69" customFormat="1" ht="13.95" customHeight="1" x14ac:dyDescent="0.3">
      <c r="A540" s="78"/>
      <c r="B540" s="24" t="s">
        <v>14</v>
      </c>
      <c r="C540" s="79" t="s">
        <v>15</v>
      </c>
      <c r="D540" s="79">
        <v>0.22</v>
      </c>
      <c r="E540" s="58">
        <f>D540*E535</f>
        <v>306.34780000000006</v>
      </c>
      <c r="F540" s="58">
        <v>4</v>
      </c>
      <c r="G540" s="56">
        <f>F540*E540</f>
        <v>1225.3912000000003</v>
      </c>
      <c r="H540" s="58"/>
      <c r="I540" s="58"/>
      <c r="J540" s="58"/>
      <c r="K540" s="58"/>
      <c r="L540" s="57">
        <f>K540+I540+G540</f>
        <v>1225.3912000000003</v>
      </c>
    </row>
    <row r="541" spans="1:12" s="69" customFormat="1" ht="13.95" customHeight="1" x14ac:dyDescent="0.3">
      <c r="A541" s="68">
        <f>A535+1</f>
        <v>3</v>
      </c>
      <c r="B541" s="74" t="s">
        <v>132</v>
      </c>
      <c r="C541" s="75" t="s">
        <v>33</v>
      </c>
      <c r="D541" s="75"/>
      <c r="E541" s="76">
        <f>E535</f>
        <v>1392.4900000000002</v>
      </c>
      <c r="F541" s="76"/>
      <c r="G541" s="76"/>
      <c r="H541" s="76"/>
      <c r="I541" s="76"/>
      <c r="J541" s="76"/>
      <c r="K541" s="76"/>
      <c r="L541" s="77"/>
    </row>
    <row r="542" spans="1:12" s="69" customFormat="1" ht="13.95" customHeight="1" x14ac:dyDescent="0.3">
      <c r="A542" s="78"/>
      <c r="B542" s="24" t="s">
        <v>8</v>
      </c>
      <c r="C542" s="79" t="s">
        <v>33</v>
      </c>
      <c r="D542" s="79">
        <v>1</v>
      </c>
      <c r="E542" s="58">
        <f>E541*D542</f>
        <v>1392.4900000000002</v>
      </c>
      <c r="F542" s="58"/>
      <c r="G542" s="58"/>
      <c r="H542" s="58">
        <f>3/0.8/0.98</f>
        <v>3.8265306122448979</v>
      </c>
      <c r="I542" s="58">
        <f>H542*E542</f>
        <v>5328.4056122448992</v>
      </c>
      <c r="J542" s="58"/>
      <c r="K542" s="58"/>
      <c r="L542" s="57">
        <f>K542+I542+G542</f>
        <v>5328.4056122448992</v>
      </c>
    </row>
    <row r="543" spans="1:12" s="69" customFormat="1" ht="13.95" customHeight="1" x14ac:dyDescent="0.3">
      <c r="A543" s="78"/>
      <c r="B543" s="24" t="s">
        <v>12</v>
      </c>
      <c r="C543" s="79"/>
      <c r="D543" s="79"/>
      <c r="E543" s="58"/>
      <c r="F543" s="58"/>
      <c r="G543" s="58"/>
      <c r="H543" s="58"/>
      <c r="I543" s="58"/>
      <c r="J543" s="58"/>
      <c r="K543" s="58"/>
      <c r="L543" s="57">
        <f>K543+I543+G543</f>
        <v>0</v>
      </c>
    </row>
    <row r="544" spans="1:12" s="69" customFormat="1" ht="13.95" customHeight="1" x14ac:dyDescent="0.3">
      <c r="A544" s="78"/>
      <c r="B544" s="24" t="s">
        <v>70</v>
      </c>
      <c r="C544" s="79" t="s">
        <v>27</v>
      </c>
      <c r="D544" s="79">
        <v>0.11</v>
      </c>
      <c r="E544" s="58">
        <f>D544*E541</f>
        <v>153.17390000000003</v>
      </c>
      <c r="F544" s="56">
        <f>60/1.18</f>
        <v>50.847457627118644</v>
      </c>
      <c r="G544" s="56">
        <f>F544*E544</f>
        <v>7788.5033898305101</v>
      </c>
      <c r="H544" s="58"/>
      <c r="I544" s="58"/>
      <c r="J544" s="58"/>
      <c r="K544" s="58"/>
      <c r="L544" s="57">
        <f>K544+I544+G544</f>
        <v>7788.5033898305101</v>
      </c>
    </row>
    <row r="545" spans="1:12" s="69" customFormat="1" ht="13.95" customHeight="1" x14ac:dyDescent="0.3">
      <c r="A545" s="68">
        <f>A541+1</f>
        <v>4</v>
      </c>
      <c r="B545" s="74" t="s">
        <v>117</v>
      </c>
      <c r="C545" s="75" t="s">
        <v>33</v>
      </c>
      <c r="D545" s="75"/>
      <c r="E545" s="76">
        <f>E535</f>
        <v>1392.4900000000002</v>
      </c>
      <c r="F545" s="76"/>
      <c r="G545" s="76"/>
      <c r="H545" s="76"/>
      <c r="I545" s="76"/>
      <c r="J545" s="76"/>
      <c r="K545" s="76"/>
      <c r="L545" s="77"/>
    </row>
    <row r="546" spans="1:12" s="69" customFormat="1" ht="13.95" customHeight="1" x14ac:dyDescent="0.3">
      <c r="A546" s="78"/>
      <c r="B546" s="24" t="s">
        <v>8</v>
      </c>
      <c r="C546" s="79" t="s">
        <v>33</v>
      </c>
      <c r="D546" s="79">
        <v>1</v>
      </c>
      <c r="E546" s="58">
        <f>E545*D546</f>
        <v>1392.4900000000002</v>
      </c>
      <c r="F546" s="58"/>
      <c r="G546" s="58"/>
      <c r="H546" s="58">
        <f>20/1.18</f>
        <v>16.949152542372882</v>
      </c>
      <c r="I546" s="58">
        <f>H546*E546</f>
        <v>23601.525423728817</v>
      </c>
      <c r="J546" s="58"/>
      <c r="K546" s="58"/>
      <c r="L546" s="57">
        <f t="shared" ref="L546:L551" si="49">K546+I546+G546</f>
        <v>23601.525423728817</v>
      </c>
    </row>
    <row r="547" spans="1:12" s="69" customFormat="1" ht="13.95" customHeight="1" x14ac:dyDescent="0.3">
      <c r="A547" s="78"/>
      <c r="B547" s="24" t="s">
        <v>10</v>
      </c>
      <c r="C547" s="79" t="s">
        <v>15</v>
      </c>
      <c r="D547" s="79">
        <v>1.7000000000000001E-2</v>
      </c>
      <c r="E547" s="58">
        <f>D547*E545</f>
        <v>23.672330000000006</v>
      </c>
      <c r="F547" s="58"/>
      <c r="G547" s="58"/>
      <c r="H547" s="58"/>
      <c r="I547" s="58"/>
      <c r="J547" s="58">
        <v>4</v>
      </c>
      <c r="K547" s="58">
        <f>J547*E547</f>
        <v>94.689320000000023</v>
      </c>
      <c r="L547" s="57">
        <f t="shared" si="49"/>
        <v>94.689320000000023</v>
      </c>
    </row>
    <row r="548" spans="1:12" s="69" customFormat="1" ht="13.95" customHeight="1" x14ac:dyDescent="0.3">
      <c r="A548" s="78"/>
      <c r="B548" s="24" t="s">
        <v>12</v>
      </c>
      <c r="C548" s="79"/>
      <c r="D548" s="79"/>
      <c r="E548" s="58"/>
      <c r="F548" s="58"/>
      <c r="G548" s="58"/>
      <c r="H548" s="58"/>
      <c r="I548" s="58"/>
      <c r="J548" s="58"/>
      <c r="K548" s="58"/>
      <c r="L548" s="57">
        <f t="shared" si="49"/>
        <v>0</v>
      </c>
    </row>
    <row r="549" spans="1:12" s="69" customFormat="1" ht="13.95" customHeight="1" x14ac:dyDescent="0.3">
      <c r="A549" s="78"/>
      <c r="B549" s="24" t="s">
        <v>116</v>
      </c>
      <c r="C549" s="79" t="s">
        <v>27</v>
      </c>
      <c r="D549" s="79">
        <v>0.11</v>
      </c>
      <c r="E549" s="58">
        <f>D549*E545</f>
        <v>153.17390000000003</v>
      </c>
      <c r="F549" s="56">
        <f>195/1.18</f>
        <v>165.25423728813561</v>
      </c>
      <c r="G549" s="56">
        <f>F549*E549</f>
        <v>25312.63601694916</v>
      </c>
      <c r="H549" s="58"/>
      <c r="I549" s="58"/>
      <c r="J549" s="58"/>
      <c r="K549" s="58"/>
      <c r="L549" s="57">
        <f t="shared" si="49"/>
        <v>25312.63601694916</v>
      </c>
    </row>
    <row r="550" spans="1:12" s="69" customFormat="1" ht="13.95" customHeight="1" x14ac:dyDescent="0.3">
      <c r="A550" s="78"/>
      <c r="B550" s="24" t="s">
        <v>113</v>
      </c>
      <c r="C550" s="79" t="s">
        <v>33</v>
      </c>
      <c r="D550" s="79">
        <v>1.03</v>
      </c>
      <c r="E550" s="58">
        <f>D550*E545</f>
        <v>1434.2647000000002</v>
      </c>
      <c r="F550" s="56">
        <f>4/1.18</f>
        <v>3.3898305084745766</v>
      </c>
      <c r="G550" s="56">
        <f>F550*E550</f>
        <v>4861.914237288137</v>
      </c>
      <c r="H550" s="58"/>
      <c r="I550" s="58"/>
      <c r="J550" s="58"/>
      <c r="K550" s="58"/>
      <c r="L550" s="57">
        <f t="shared" si="49"/>
        <v>4861.914237288137</v>
      </c>
    </row>
    <row r="551" spans="1:12" s="69" customFormat="1" ht="13.95" customHeight="1" x14ac:dyDescent="0.3">
      <c r="A551" s="78"/>
      <c r="B551" s="24" t="s">
        <v>14</v>
      </c>
      <c r="C551" s="79" t="s">
        <v>15</v>
      </c>
      <c r="D551" s="79">
        <v>0.11</v>
      </c>
      <c r="E551" s="58">
        <f>D551*E545</f>
        <v>153.17390000000003</v>
      </c>
      <c r="F551" s="58">
        <v>4</v>
      </c>
      <c r="G551" s="56">
        <f>F551*E551</f>
        <v>612.69560000000013</v>
      </c>
      <c r="H551" s="58"/>
      <c r="I551" s="58"/>
      <c r="J551" s="58"/>
      <c r="K551" s="58"/>
      <c r="L551" s="57">
        <f t="shared" si="49"/>
        <v>612.69560000000013</v>
      </c>
    </row>
    <row r="552" spans="1:12" s="69" customFormat="1" ht="13.95" customHeight="1" x14ac:dyDescent="0.3">
      <c r="A552" s="68">
        <f>A545+1</f>
        <v>5</v>
      </c>
      <c r="B552" s="74" t="s">
        <v>120</v>
      </c>
      <c r="C552" s="75" t="s">
        <v>33</v>
      </c>
      <c r="D552" s="75"/>
      <c r="E552" s="76">
        <f>E546</f>
        <v>1392.4900000000002</v>
      </c>
      <c r="F552" s="76"/>
      <c r="G552" s="76"/>
      <c r="H552" s="76"/>
      <c r="I552" s="76"/>
      <c r="J552" s="76"/>
      <c r="K552" s="76"/>
      <c r="L552" s="77"/>
    </row>
    <row r="553" spans="1:12" s="69" customFormat="1" ht="13.95" customHeight="1" x14ac:dyDescent="0.3">
      <c r="A553" s="78"/>
      <c r="B553" s="24" t="s">
        <v>8</v>
      </c>
      <c r="C553" s="79" t="s">
        <v>33</v>
      </c>
      <c r="D553" s="79">
        <v>1</v>
      </c>
      <c r="E553" s="58">
        <f>E552*D553</f>
        <v>1392.4900000000002</v>
      </c>
      <c r="F553" s="58"/>
      <c r="G553" s="58"/>
      <c r="H553" s="58">
        <f>15/0.8/0.98</f>
        <v>19.132653061224492</v>
      </c>
      <c r="I553" s="58">
        <f>H553*E553</f>
        <v>26642.028061224497</v>
      </c>
      <c r="J553" s="58"/>
      <c r="K553" s="58"/>
      <c r="L553" s="57">
        <f t="shared" ref="L553:L558" si="50">K553+I553+G553</f>
        <v>26642.028061224497</v>
      </c>
    </row>
    <row r="554" spans="1:12" s="69" customFormat="1" ht="13.95" customHeight="1" x14ac:dyDescent="0.3">
      <c r="A554" s="78"/>
      <c r="B554" s="24" t="s">
        <v>10</v>
      </c>
      <c r="C554" s="79" t="s">
        <v>15</v>
      </c>
      <c r="D554" s="79">
        <v>1.7000000000000001E-2</v>
      </c>
      <c r="E554" s="58">
        <f>D554*E552</f>
        <v>23.672330000000006</v>
      </c>
      <c r="F554" s="58"/>
      <c r="G554" s="58"/>
      <c r="H554" s="58"/>
      <c r="I554" s="58"/>
      <c r="J554" s="58">
        <v>4</v>
      </c>
      <c r="K554" s="58">
        <f>J554*E554</f>
        <v>94.689320000000023</v>
      </c>
      <c r="L554" s="57">
        <f t="shared" si="50"/>
        <v>94.689320000000023</v>
      </c>
    </row>
    <row r="555" spans="1:12" s="69" customFormat="1" ht="13.95" customHeight="1" x14ac:dyDescent="0.3">
      <c r="A555" s="78"/>
      <c r="B555" s="24" t="s">
        <v>12</v>
      </c>
      <c r="C555" s="79"/>
      <c r="D555" s="79"/>
      <c r="E555" s="58"/>
      <c r="F555" s="58"/>
      <c r="G555" s="58"/>
      <c r="H555" s="58"/>
      <c r="I555" s="58"/>
      <c r="J555" s="58"/>
      <c r="K555" s="58"/>
      <c r="L555" s="57">
        <f t="shared" si="50"/>
        <v>0</v>
      </c>
    </row>
    <row r="556" spans="1:12" s="69" customFormat="1" ht="13.95" customHeight="1" x14ac:dyDescent="0.3">
      <c r="A556" s="78"/>
      <c r="B556" s="24" t="s">
        <v>107</v>
      </c>
      <c r="C556" s="79" t="s">
        <v>33</v>
      </c>
      <c r="D556" s="79">
        <v>1.05</v>
      </c>
      <c r="E556" s="58">
        <f>D556*E552</f>
        <v>1462.1145000000004</v>
      </c>
      <c r="F556" s="56">
        <f>8/1.18</f>
        <v>6.7796610169491531</v>
      </c>
      <c r="G556" s="56">
        <f>F556*E556</f>
        <v>9912.6406779661047</v>
      </c>
      <c r="H556" s="58"/>
      <c r="I556" s="58"/>
      <c r="J556" s="58"/>
      <c r="K556" s="58"/>
      <c r="L556" s="57">
        <f t="shared" si="50"/>
        <v>9912.6406779661047</v>
      </c>
    </row>
    <row r="557" spans="1:12" s="69" customFormat="1" ht="13.95" customHeight="1" x14ac:dyDescent="0.3">
      <c r="A557" s="78"/>
      <c r="B557" s="24" t="s">
        <v>118</v>
      </c>
      <c r="C557" s="79" t="s">
        <v>13</v>
      </c>
      <c r="D557" s="79">
        <v>0.55000000000000004</v>
      </c>
      <c r="E557" s="58">
        <f>D557*E552</f>
        <v>765.86950000000024</v>
      </c>
      <c r="F557" s="56">
        <f>120/1.18/20</f>
        <v>5.0847457627118642</v>
      </c>
      <c r="G557" s="56">
        <f>F557*E557</f>
        <v>3894.2516949152555</v>
      </c>
      <c r="H557" s="58"/>
      <c r="I557" s="58"/>
      <c r="J557" s="58"/>
      <c r="K557" s="58"/>
      <c r="L557" s="57">
        <f t="shared" si="50"/>
        <v>3894.2516949152555</v>
      </c>
    </row>
    <row r="558" spans="1:12" s="69" customFormat="1" ht="13.95" customHeight="1" x14ac:dyDescent="0.3">
      <c r="A558" s="78"/>
      <c r="B558" s="24" t="s">
        <v>119</v>
      </c>
      <c r="C558" s="79" t="s">
        <v>13</v>
      </c>
      <c r="D558" s="79">
        <v>0.3</v>
      </c>
      <c r="E558" s="58">
        <f>D558*E552</f>
        <v>417.74700000000007</v>
      </c>
      <c r="F558" s="56">
        <f>5.5/1.18</f>
        <v>4.6610169491525424</v>
      </c>
      <c r="G558" s="56">
        <f>F558*E558</f>
        <v>1947.1258474576275</v>
      </c>
      <c r="H558" s="58"/>
      <c r="I558" s="58"/>
      <c r="J558" s="58"/>
      <c r="K558" s="58"/>
      <c r="L558" s="57">
        <f t="shared" si="50"/>
        <v>1947.1258474576275</v>
      </c>
    </row>
    <row r="559" spans="1:12" s="69" customFormat="1" ht="27.6" customHeight="1" x14ac:dyDescent="0.3">
      <c r="A559" s="68">
        <f>A552+1</f>
        <v>6</v>
      </c>
      <c r="B559" s="74" t="s">
        <v>121</v>
      </c>
      <c r="C559" s="75" t="s">
        <v>33</v>
      </c>
      <c r="D559" s="75"/>
      <c r="E559" s="76">
        <f>E553</f>
        <v>1392.4900000000002</v>
      </c>
      <c r="F559" s="76"/>
      <c r="G559" s="76"/>
      <c r="H559" s="76"/>
      <c r="I559" s="76"/>
      <c r="J559" s="76"/>
      <c r="K559" s="76"/>
      <c r="L559" s="77"/>
    </row>
    <row r="560" spans="1:12" s="69" customFormat="1" ht="13.95" customHeight="1" x14ac:dyDescent="0.3">
      <c r="A560" s="78"/>
      <c r="B560" s="24" t="s">
        <v>8</v>
      </c>
      <c r="C560" s="79" t="s">
        <v>33</v>
      </c>
      <c r="D560" s="79">
        <v>1</v>
      </c>
      <c r="E560" s="58">
        <f>E559*D560</f>
        <v>1392.4900000000002</v>
      </c>
      <c r="F560" s="58"/>
      <c r="G560" s="58"/>
      <c r="H560" s="58">
        <f>3/0.8/0.98</f>
        <v>3.8265306122448979</v>
      </c>
      <c r="I560" s="58">
        <f>H560*E560</f>
        <v>5328.4056122448992</v>
      </c>
      <c r="J560" s="58"/>
      <c r="K560" s="58"/>
      <c r="L560" s="57">
        <f>K560+I560+G560</f>
        <v>5328.4056122448992</v>
      </c>
    </row>
    <row r="561" spans="1:16" s="69" customFormat="1" ht="13.95" customHeight="1" x14ac:dyDescent="0.3">
      <c r="A561" s="78"/>
      <c r="B561" s="24" t="s">
        <v>12</v>
      </c>
      <c r="C561" s="79"/>
      <c r="D561" s="79"/>
      <c r="E561" s="58"/>
      <c r="F561" s="58"/>
      <c r="G561" s="58"/>
      <c r="H561" s="58"/>
      <c r="I561" s="58"/>
      <c r="J561" s="58"/>
      <c r="K561" s="58"/>
      <c r="L561" s="57">
        <f>K561+I561+G561</f>
        <v>0</v>
      </c>
    </row>
    <row r="562" spans="1:16" s="69" customFormat="1" ht="13.95" customHeight="1" x14ac:dyDescent="0.3">
      <c r="A562" s="78"/>
      <c r="B562" s="24" t="s">
        <v>122</v>
      </c>
      <c r="C562" s="79" t="s">
        <v>27</v>
      </c>
      <c r="D562" s="79">
        <f>0.055</f>
        <v>5.5E-2</v>
      </c>
      <c r="E562" s="58">
        <f>D562*E559</f>
        <v>76.586950000000016</v>
      </c>
      <c r="F562" s="56">
        <f>55/1.18</f>
        <v>46.610169491525426</v>
      </c>
      <c r="G562" s="56">
        <f>F562*E562</f>
        <v>3569.7307203389842</v>
      </c>
      <c r="H562" s="58"/>
      <c r="I562" s="58"/>
      <c r="J562" s="58"/>
      <c r="K562" s="58"/>
      <c r="L562" s="57">
        <f>K562+I562+G562</f>
        <v>3569.7307203389842</v>
      </c>
    </row>
    <row r="563" spans="1:16" s="69" customFormat="1" ht="27.6" customHeight="1" x14ac:dyDescent="0.3">
      <c r="A563" s="68">
        <f>A559+1</f>
        <v>7</v>
      </c>
      <c r="B563" s="74" t="s">
        <v>123</v>
      </c>
      <c r="C563" s="75" t="s">
        <v>33</v>
      </c>
      <c r="D563" s="75"/>
      <c r="E563" s="76">
        <f>E559</f>
        <v>1392.4900000000002</v>
      </c>
      <c r="F563" s="76"/>
      <c r="G563" s="76"/>
      <c r="H563" s="76"/>
      <c r="I563" s="76"/>
      <c r="J563" s="76"/>
      <c r="K563" s="76"/>
      <c r="L563" s="77"/>
    </row>
    <row r="564" spans="1:16" s="69" customFormat="1" ht="13.95" customHeight="1" x14ac:dyDescent="0.3">
      <c r="A564" s="78"/>
      <c r="B564" s="24" t="s">
        <v>8</v>
      </c>
      <c r="C564" s="79" t="s">
        <v>33</v>
      </c>
      <c r="D564" s="79">
        <v>1</v>
      </c>
      <c r="E564" s="58">
        <f>E563*D564</f>
        <v>1392.4900000000002</v>
      </c>
      <c r="F564" s="58"/>
      <c r="G564" s="58"/>
      <c r="H564" s="58">
        <f>10/0.8/0.98</f>
        <v>12.755102040816327</v>
      </c>
      <c r="I564" s="58">
        <f>H564*E564</f>
        <v>17761.352040816331</v>
      </c>
      <c r="J564" s="58"/>
      <c r="K564" s="58"/>
      <c r="L564" s="57">
        <f>K564+I564+G564</f>
        <v>17761.352040816331</v>
      </c>
    </row>
    <row r="565" spans="1:16" s="69" customFormat="1" ht="13.95" customHeight="1" x14ac:dyDescent="0.3">
      <c r="A565" s="78"/>
      <c r="B565" s="24" t="s">
        <v>12</v>
      </c>
      <c r="C565" s="79"/>
      <c r="D565" s="79"/>
      <c r="E565" s="58"/>
      <c r="F565" s="58"/>
      <c r="G565" s="58"/>
      <c r="H565" s="58"/>
      <c r="I565" s="58"/>
      <c r="J565" s="58"/>
      <c r="K565" s="58"/>
      <c r="L565" s="57">
        <f>K565+I565+G565</f>
        <v>0</v>
      </c>
    </row>
    <row r="566" spans="1:16" s="69" customFormat="1" ht="13.95" customHeight="1" x14ac:dyDescent="0.3">
      <c r="A566" s="78"/>
      <c r="B566" s="24" t="s">
        <v>124</v>
      </c>
      <c r="C566" s="79" t="s">
        <v>33</v>
      </c>
      <c r="D566" s="79">
        <v>1</v>
      </c>
      <c r="E566" s="58">
        <f>D566*E563</f>
        <v>1392.4900000000002</v>
      </c>
      <c r="F566" s="56">
        <f>105/1.18</f>
        <v>88.983050847457633</v>
      </c>
      <c r="G566" s="56">
        <f>F566*E566</f>
        <v>123908.0084745763</v>
      </c>
      <c r="H566" s="58"/>
      <c r="I566" s="58"/>
      <c r="J566" s="58"/>
      <c r="K566" s="58"/>
      <c r="L566" s="57">
        <f>K566+I566+G566</f>
        <v>123908.0084745763</v>
      </c>
    </row>
    <row r="567" spans="1:16" s="69" customFormat="1" ht="13.95" customHeight="1" x14ac:dyDescent="0.3">
      <c r="A567" s="68">
        <f>A563+1</f>
        <v>8</v>
      </c>
      <c r="B567" s="74" t="s">
        <v>125</v>
      </c>
      <c r="C567" s="75" t="s">
        <v>33</v>
      </c>
      <c r="D567" s="75"/>
      <c r="E567" s="76">
        <f>E563</f>
        <v>1392.4900000000002</v>
      </c>
      <c r="F567" s="76"/>
      <c r="G567" s="76"/>
      <c r="H567" s="76"/>
      <c r="I567" s="76"/>
      <c r="J567" s="76"/>
      <c r="K567" s="76"/>
      <c r="L567" s="77"/>
    </row>
    <row r="568" spans="1:16" s="69" customFormat="1" ht="13.95" customHeight="1" x14ac:dyDescent="0.3">
      <c r="A568" s="78"/>
      <c r="B568" s="24" t="s">
        <v>8</v>
      </c>
      <c r="C568" s="79" t="s">
        <v>33</v>
      </c>
      <c r="D568" s="79">
        <v>1</v>
      </c>
      <c r="E568" s="58">
        <f>E567*D568</f>
        <v>1392.4900000000002</v>
      </c>
      <c r="F568" s="58"/>
      <c r="G568" s="58"/>
      <c r="H568" s="58">
        <f>5/0.8/0.98</f>
        <v>6.3775510204081636</v>
      </c>
      <c r="I568" s="58">
        <f>H568*E568</f>
        <v>8880.6760204081656</v>
      </c>
      <c r="J568" s="58"/>
      <c r="K568" s="58"/>
      <c r="L568" s="57">
        <f>K568+I568+G568</f>
        <v>8880.6760204081656</v>
      </c>
    </row>
    <row r="569" spans="1:16" s="69" customFormat="1" ht="13.95" customHeight="1" x14ac:dyDescent="0.3">
      <c r="A569" s="78"/>
      <c r="B569" s="24" t="s">
        <v>12</v>
      </c>
      <c r="C569" s="79"/>
      <c r="D569" s="79"/>
      <c r="E569" s="58"/>
      <c r="F569" s="58"/>
      <c r="G569" s="58"/>
      <c r="H569" s="58"/>
      <c r="I569" s="58"/>
      <c r="J569" s="58"/>
      <c r="K569" s="58"/>
      <c r="L569" s="57">
        <f>K569+I569+G569</f>
        <v>0</v>
      </c>
    </row>
    <row r="570" spans="1:16" s="69" customFormat="1" ht="13.95" customHeight="1" x14ac:dyDescent="0.3">
      <c r="A570" s="78"/>
      <c r="B570" s="24" t="s">
        <v>124</v>
      </c>
      <c r="C570" s="79" t="s">
        <v>33</v>
      </c>
      <c r="D570" s="79">
        <v>1</v>
      </c>
      <c r="E570" s="58">
        <f>D570*E567</f>
        <v>1392.4900000000002</v>
      </c>
      <c r="F570" s="56">
        <f>45/1.18</f>
        <v>38.135593220338983</v>
      </c>
      <c r="G570" s="56">
        <f>F570*E570</f>
        <v>53103.432203389842</v>
      </c>
      <c r="H570" s="58"/>
      <c r="I570" s="58"/>
      <c r="J570" s="58"/>
      <c r="K570" s="58"/>
      <c r="L570" s="57">
        <f>K570+I570+G570</f>
        <v>53103.432203389842</v>
      </c>
    </row>
    <row r="571" spans="1:16" s="54" customFormat="1" ht="21.75" customHeight="1" x14ac:dyDescent="0.3">
      <c r="A571" s="49"/>
      <c r="B571" s="71" t="s">
        <v>109</v>
      </c>
      <c r="C571" s="50"/>
      <c r="D571" s="51"/>
      <c r="E571" s="51"/>
      <c r="F571" s="52"/>
      <c r="G571" s="51"/>
      <c r="H571" s="51"/>
      <c r="I571" s="51"/>
      <c r="J571" s="51"/>
      <c r="K571" s="51"/>
      <c r="L571" s="53"/>
    </row>
    <row r="572" spans="1:16" s="69" customFormat="1" ht="13.95" customHeight="1" x14ac:dyDescent="0.3">
      <c r="A572" s="68">
        <v>1</v>
      </c>
      <c r="B572" s="74" t="s">
        <v>158</v>
      </c>
      <c r="C572" s="75" t="s">
        <v>9</v>
      </c>
      <c r="D572" s="75"/>
      <c r="E572" s="76">
        <v>1</v>
      </c>
      <c r="F572" s="56">
        <f>70000*2.6622/1.18</f>
        <v>157927.11864406781</v>
      </c>
      <c r="G572" s="56">
        <f>F572*E572</f>
        <v>157927.11864406781</v>
      </c>
      <c r="H572" s="56">
        <f>3000*2.6622/1.18</f>
        <v>6768.3050847457625</v>
      </c>
      <c r="I572" s="58">
        <f>H572*E572</f>
        <v>6768.3050847457625</v>
      </c>
      <c r="J572" s="76"/>
      <c r="K572" s="76"/>
      <c r="L572" s="57">
        <f>K572+I572+G572</f>
        <v>164695.42372881356</v>
      </c>
    </row>
    <row r="573" spans="1:16" s="69" customFormat="1" ht="13.95" customHeight="1" x14ac:dyDescent="0.3">
      <c r="A573" s="68">
        <v>3</v>
      </c>
      <c r="B573" s="74" t="s">
        <v>157</v>
      </c>
      <c r="C573" s="75" t="s">
        <v>9</v>
      </c>
      <c r="D573" s="75"/>
      <c r="E573" s="76">
        <v>3</v>
      </c>
      <c r="F573" s="56">
        <f>130000*2.51/1.18</f>
        <v>276525.42372881359</v>
      </c>
      <c r="G573" s="56">
        <f>F573*E573</f>
        <v>829576.27118644072</v>
      </c>
      <c r="H573" s="56">
        <f>6000*2.51/1.18</f>
        <v>12762.71186440678</v>
      </c>
      <c r="I573" s="58">
        <f>H573*E573</f>
        <v>38288.135593220337</v>
      </c>
      <c r="J573" s="76"/>
      <c r="K573" s="76"/>
      <c r="L573" s="57">
        <f>K573+I573+G573</f>
        <v>867864.40677966108</v>
      </c>
      <c r="N573" s="118"/>
      <c r="O573" s="67"/>
      <c r="P573" s="118"/>
    </row>
    <row r="574" spans="1:16" s="69" customFormat="1" ht="13.95" customHeight="1" x14ac:dyDescent="0.3">
      <c r="A574" s="68">
        <v>4</v>
      </c>
      <c r="B574" s="74" t="s">
        <v>110</v>
      </c>
      <c r="C574" s="75" t="s">
        <v>33</v>
      </c>
      <c r="D574" s="75"/>
      <c r="E574" s="76">
        <v>25850.99</v>
      </c>
      <c r="F574" s="56">
        <v>85</v>
      </c>
      <c r="G574" s="56">
        <f>F574*E574</f>
        <v>2197334.15</v>
      </c>
      <c r="H574" s="56">
        <f>10*1.27</f>
        <v>12.7</v>
      </c>
      <c r="I574" s="58">
        <f>H574*E574</f>
        <v>328307.57299999997</v>
      </c>
      <c r="J574" s="76"/>
      <c r="K574" s="76"/>
      <c r="L574" s="57">
        <f>K574+I574+G574</f>
        <v>2525641.7229999998</v>
      </c>
      <c r="N574" s="118"/>
      <c r="O574" s="67"/>
      <c r="P574" s="118"/>
    </row>
    <row r="575" spans="1:16" s="62" customFormat="1" ht="13.95" customHeight="1" x14ac:dyDescent="0.3">
      <c r="A575" s="59"/>
      <c r="B575" s="17" t="s">
        <v>6</v>
      </c>
      <c r="C575" s="60"/>
      <c r="D575" s="61"/>
      <c r="E575" s="92"/>
      <c r="F575" s="20"/>
      <c r="G575" s="21">
        <f>SUM(G12:G574)</f>
        <v>10255034.01399052</v>
      </c>
      <c r="H575" s="22"/>
      <c r="I575" s="21">
        <f>SUM(I12:I574)</f>
        <v>3322651.4378478015</v>
      </c>
      <c r="J575" s="22"/>
      <c r="K575" s="21">
        <f>SUM(K12:K574)</f>
        <v>20405.307448000003</v>
      </c>
      <c r="L575" s="21">
        <f>SUM(L12:L574)</f>
        <v>13598090.759286314</v>
      </c>
    </row>
    <row r="576" spans="1:16" s="63" customFormat="1" ht="12.75" customHeight="1" x14ac:dyDescent="0.3">
      <c r="A576" s="16"/>
      <c r="B576" s="24" t="s">
        <v>128</v>
      </c>
      <c r="C576" s="18">
        <v>0.03</v>
      </c>
      <c r="D576" s="25"/>
      <c r="E576" s="19"/>
      <c r="F576" s="20"/>
      <c r="G576" s="26"/>
      <c r="H576" s="22"/>
      <c r="I576" s="26"/>
      <c r="J576" s="22"/>
      <c r="K576" s="26"/>
      <c r="L576" s="21">
        <f>G575*C576</f>
        <v>307651.02041971555</v>
      </c>
    </row>
    <row r="577" spans="1:12" s="62" customFormat="1" ht="13.95" customHeight="1" x14ac:dyDescent="0.3">
      <c r="A577" s="59"/>
      <c r="B577" s="17" t="s">
        <v>6</v>
      </c>
      <c r="C577" s="60"/>
      <c r="D577" s="61"/>
      <c r="E577" s="92"/>
      <c r="F577" s="20"/>
      <c r="G577" s="21"/>
      <c r="H577" s="22"/>
      <c r="I577" s="21"/>
      <c r="J577" s="22"/>
      <c r="K577" s="21"/>
      <c r="L577" s="21">
        <f>L576+L575</f>
        <v>13905741.779706029</v>
      </c>
    </row>
    <row r="578" spans="1:12" s="63" customFormat="1" ht="12.75" customHeight="1" x14ac:dyDescent="0.3">
      <c r="A578" s="16"/>
      <c r="B578" s="24" t="s">
        <v>154</v>
      </c>
      <c r="C578" s="18">
        <v>1.9E-2</v>
      </c>
      <c r="D578" s="25"/>
      <c r="E578" s="19"/>
      <c r="F578" s="20"/>
      <c r="G578" s="26"/>
      <c r="H578" s="22"/>
      <c r="I578" s="26"/>
      <c r="J578" s="22"/>
      <c r="K578" s="26"/>
      <c r="L578" s="21">
        <f>L577*C578</f>
        <v>264209.09381441458</v>
      </c>
    </row>
    <row r="579" spans="1:12" s="23" customFormat="1" ht="12.75" customHeight="1" x14ac:dyDescent="0.3">
      <c r="A579" s="16"/>
      <c r="B579" s="17" t="s">
        <v>6</v>
      </c>
      <c r="C579" s="18"/>
      <c r="D579" s="19"/>
      <c r="E579" s="19"/>
      <c r="F579" s="20"/>
      <c r="G579" s="26"/>
      <c r="H579" s="22"/>
      <c r="I579" s="26"/>
      <c r="J579" s="22"/>
      <c r="K579" s="26"/>
      <c r="L579" s="21">
        <f>L578+L577</f>
        <v>14169950.873520443</v>
      </c>
    </row>
    <row r="580" spans="1:12" s="23" customFormat="1" ht="12.75" customHeight="1" x14ac:dyDescent="0.3">
      <c r="A580" s="16"/>
      <c r="B580" s="24" t="s">
        <v>17</v>
      </c>
      <c r="C580" s="18" t="e">
        <f>#REF!</f>
        <v>#REF!</v>
      </c>
      <c r="D580" s="25"/>
      <c r="E580" s="19"/>
      <c r="F580" s="20"/>
      <c r="G580" s="26"/>
      <c r="H580" s="22"/>
      <c r="I580" s="26"/>
      <c r="J580" s="22"/>
      <c r="K580" s="26"/>
      <c r="L580" s="21" t="e">
        <f>L579*C580</f>
        <v>#REF!</v>
      </c>
    </row>
    <row r="581" spans="1:12" s="23" customFormat="1" ht="12.75" customHeight="1" x14ac:dyDescent="0.3">
      <c r="A581" s="16"/>
      <c r="B581" s="17" t="s">
        <v>6</v>
      </c>
      <c r="C581" s="18"/>
      <c r="D581" s="25"/>
      <c r="E581" s="19"/>
      <c r="F581" s="20"/>
      <c r="G581" s="26"/>
      <c r="H581" s="22"/>
      <c r="I581" s="26"/>
      <c r="J581" s="22"/>
      <c r="K581" s="26"/>
      <c r="L581" s="21" t="e">
        <f>L580+L579</f>
        <v>#REF!</v>
      </c>
    </row>
    <row r="582" spans="1:12" s="10" customFormat="1" ht="15" customHeight="1" x14ac:dyDescent="0.3">
      <c r="A582" s="27"/>
      <c r="B582" s="24" t="s">
        <v>18</v>
      </c>
      <c r="C582" s="18" t="e">
        <f>#REF!</f>
        <v>#REF!</v>
      </c>
      <c r="D582" s="28"/>
      <c r="E582" s="93"/>
      <c r="F582" s="20"/>
      <c r="G582" s="26"/>
      <c r="H582" s="22"/>
      <c r="I582" s="26"/>
      <c r="J582" s="22"/>
      <c r="K582" s="26"/>
      <c r="L582" s="21" t="e">
        <f>L581*C582</f>
        <v>#REF!</v>
      </c>
    </row>
    <row r="583" spans="1:12" s="10" customFormat="1" ht="13.95" customHeight="1" x14ac:dyDescent="0.3">
      <c r="A583" s="16"/>
      <c r="B583" s="17" t="s">
        <v>6</v>
      </c>
      <c r="C583" s="29"/>
      <c r="D583" s="30"/>
      <c r="E583" s="94"/>
      <c r="F583" s="20"/>
      <c r="G583" s="26"/>
      <c r="H583" s="22"/>
      <c r="I583" s="26"/>
      <c r="J583" s="22"/>
      <c r="K583" s="26"/>
      <c r="L583" s="21" t="e">
        <f>L582+L581</f>
        <v>#REF!</v>
      </c>
    </row>
    <row r="584" spans="1:12" s="10" customFormat="1" ht="13.95" customHeight="1" x14ac:dyDescent="0.3">
      <c r="A584" s="16"/>
      <c r="B584" s="24" t="s">
        <v>129</v>
      </c>
      <c r="C584" s="18" t="e">
        <f>#REF!</f>
        <v>#REF!</v>
      </c>
      <c r="D584" s="30"/>
      <c r="E584" s="31"/>
      <c r="F584" s="20"/>
      <c r="G584" s="26"/>
      <c r="H584" s="22"/>
      <c r="I584" s="26"/>
      <c r="J584" s="22"/>
      <c r="K584" s="26"/>
      <c r="L584" s="21" t="e">
        <f>L583*C584</f>
        <v>#REF!</v>
      </c>
    </row>
    <row r="585" spans="1:12" s="10" customFormat="1" ht="14.4" customHeight="1" thickBot="1" x14ac:dyDescent="0.35">
      <c r="A585" s="32"/>
      <c r="B585" s="33" t="s">
        <v>6</v>
      </c>
      <c r="C585" s="34"/>
      <c r="D585" s="35"/>
      <c r="E585" s="36"/>
      <c r="F585" s="37"/>
      <c r="G585" s="38"/>
      <c r="H585" s="39"/>
      <c r="I585" s="38"/>
      <c r="J585" s="39"/>
      <c r="K585" s="38"/>
      <c r="L585" s="40" t="e">
        <f>L583+L584</f>
        <v>#REF!</v>
      </c>
    </row>
    <row r="586" spans="1:12" s="10" customFormat="1" ht="13.95" customHeight="1" x14ac:dyDescent="0.3">
      <c r="A586" s="16"/>
      <c r="B586" s="24" t="s">
        <v>19</v>
      </c>
      <c r="C586" s="18" t="e">
        <f>#REF!</f>
        <v>#REF!</v>
      </c>
      <c r="D586" s="30"/>
      <c r="E586" s="94"/>
      <c r="F586" s="20"/>
      <c r="G586" s="26"/>
      <c r="H586" s="22"/>
      <c r="I586" s="26"/>
      <c r="J586" s="22"/>
      <c r="K586" s="26"/>
      <c r="L586" s="21" t="e">
        <f>L585*C586</f>
        <v>#REF!</v>
      </c>
    </row>
    <row r="587" spans="1:12" s="10" customFormat="1" ht="14.4" customHeight="1" thickBot="1" x14ac:dyDescent="0.35">
      <c r="A587" s="32"/>
      <c r="B587" s="33" t="s">
        <v>6</v>
      </c>
      <c r="C587" s="34"/>
      <c r="D587" s="35"/>
      <c r="E587" s="95"/>
      <c r="F587" s="37"/>
      <c r="G587" s="38"/>
      <c r="H587" s="39"/>
      <c r="I587" s="38"/>
      <c r="J587" s="39"/>
      <c r="K587" s="38"/>
      <c r="L587" s="40" t="e">
        <f>L586+L585</f>
        <v>#REF!</v>
      </c>
    </row>
    <row r="599" spans="1:12" x14ac:dyDescent="0.3">
      <c r="A599" s="68">
        <v>4</v>
      </c>
      <c r="B599" s="74" t="s">
        <v>96</v>
      </c>
      <c r="C599" s="75" t="s">
        <v>33</v>
      </c>
      <c r="D599" s="75"/>
      <c r="E599" s="76">
        <f>7.6*29</f>
        <v>220.39999999999998</v>
      </c>
      <c r="F599" s="106"/>
      <c r="G599" s="76"/>
      <c r="H599" s="76"/>
      <c r="I599" s="76"/>
      <c r="J599" s="76"/>
      <c r="K599" s="76"/>
      <c r="L599" s="77"/>
    </row>
    <row r="600" spans="1:12" x14ac:dyDescent="0.3">
      <c r="A600" s="78"/>
      <c r="B600" s="24" t="s">
        <v>8</v>
      </c>
      <c r="C600" s="79" t="s">
        <v>33</v>
      </c>
      <c r="D600" s="79">
        <v>1</v>
      </c>
      <c r="E600" s="58">
        <f>E599*D600</f>
        <v>220.39999999999998</v>
      </c>
      <c r="F600" s="106"/>
      <c r="G600" s="56"/>
      <c r="H600" s="58">
        <f>30/0.8/0.98</f>
        <v>38.265306122448983</v>
      </c>
      <c r="I600" s="58">
        <f>H600*E600</f>
        <v>8433.6734693877552</v>
      </c>
      <c r="J600" s="58"/>
      <c r="K600" s="58"/>
      <c r="L600" s="57">
        <f>K600+I600+G600</f>
        <v>8433.6734693877552</v>
      </c>
    </row>
    <row r="601" spans="1:12" x14ac:dyDescent="0.3">
      <c r="A601" s="78"/>
      <c r="B601" s="24" t="s">
        <v>12</v>
      </c>
      <c r="C601" s="79"/>
      <c r="D601" s="79"/>
      <c r="E601" s="58"/>
      <c r="F601" s="106"/>
      <c r="G601" s="56"/>
      <c r="H601" s="58"/>
      <c r="I601" s="58"/>
      <c r="J601" s="58"/>
      <c r="K601" s="58"/>
      <c r="L601" s="57">
        <f>K601+I601+G601</f>
        <v>0</v>
      </c>
    </row>
    <row r="602" spans="1:12" x14ac:dyDescent="0.3">
      <c r="A602" s="78"/>
      <c r="B602" s="24" t="s">
        <v>97</v>
      </c>
      <c r="C602" s="79" t="s">
        <v>33</v>
      </c>
      <c r="D602" s="79">
        <v>1</v>
      </c>
      <c r="E602" s="58">
        <f>D602*E599</f>
        <v>220.39999999999998</v>
      </c>
      <c r="F602" s="106">
        <v>319.44214779661024</v>
      </c>
      <c r="G602" s="56">
        <f>F602*E602</f>
        <v>70405.049374372888</v>
      </c>
      <c r="H602" s="58"/>
      <c r="I602" s="58"/>
      <c r="J602" s="58"/>
      <c r="K602" s="58"/>
      <c r="L602" s="57">
        <f>K602+I602+G602</f>
        <v>70405.049374372888</v>
      </c>
    </row>
    <row r="603" spans="1:12" ht="14.4" x14ac:dyDescent="0.3">
      <c r="A603" s="68">
        <v>5</v>
      </c>
      <c r="B603" s="74" t="s">
        <v>98</v>
      </c>
      <c r="C603" s="75" t="s">
        <v>33</v>
      </c>
      <c r="D603" s="75"/>
      <c r="E603" s="104">
        <f>(1+1.9+1.8*7+2.2*5)*17*2.6+(6.21+2.2*3+1.8*18)*2.6*7</f>
        <v>1994.1219999999998</v>
      </c>
      <c r="F603" s="106"/>
      <c r="G603" s="76"/>
      <c r="H603" s="76"/>
      <c r="I603" s="76"/>
      <c r="J603" s="76"/>
      <c r="K603" s="76"/>
      <c r="L603" s="77"/>
    </row>
    <row r="604" spans="1:12" x14ac:dyDescent="0.3">
      <c r="A604" s="78"/>
      <c r="B604" s="24" t="s">
        <v>8</v>
      </c>
      <c r="C604" s="79" t="s">
        <v>33</v>
      </c>
      <c r="D604" s="79">
        <v>1</v>
      </c>
      <c r="E604" s="58">
        <f>E603*D604</f>
        <v>1994.1219999999998</v>
      </c>
      <c r="F604" s="106"/>
      <c r="G604" s="56"/>
      <c r="H604" s="58">
        <f>H600</f>
        <v>38.265306122448983</v>
      </c>
      <c r="I604" s="58">
        <f>H604*E604</f>
        <v>76305.688775510207</v>
      </c>
      <c r="J604" s="58"/>
      <c r="K604" s="58"/>
      <c r="L604" s="57">
        <f>K604+I604+G604</f>
        <v>76305.688775510207</v>
      </c>
    </row>
    <row r="605" spans="1:12" x14ac:dyDescent="0.3">
      <c r="A605" s="78"/>
      <c r="B605" s="24" t="s">
        <v>12</v>
      </c>
      <c r="C605" s="79"/>
      <c r="D605" s="79"/>
      <c r="E605" s="58"/>
      <c r="F605" s="106"/>
      <c r="G605" s="56"/>
      <c r="H605" s="58"/>
      <c r="I605" s="58"/>
      <c r="J605" s="58"/>
      <c r="K605" s="58"/>
      <c r="L605" s="57">
        <f>K605+I605+G605</f>
        <v>0</v>
      </c>
    </row>
    <row r="606" spans="1:12" x14ac:dyDescent="0.3">
      <c r="A606" s="78"/>
      <c r="B606" s="24" t="s">
        <v>99</v>
      </c>
      <c r="C606" s="79" t="s">
        <v>33</v>
      </c>
      <c r="D606" s="79">
        <v>1</v>
      </c>
      <c r="E606" s="58">
        <f>D606*E603</f>
        <v>1994.1219999999998</v>
      </c>
      <c r="F606" s="106">
        <v>189.66877525423729</v>
      </c>
      <c r="G606" s="56">
        <f>F606*E606</f>
        <v>378222.67744753015</v>
      </c>
      <c r="H606" s="58"/>
      <c r="I606" s="58"/>
      <c r="J606" s="58"/>
      <c r="K606" s="58"/>
      <c r="L606" s="57">
        <f>K606+I606+G606</f>
        <v>378222.67744753015</v>
      </c>
    </row>
    <row r="608" spans="1:12" s="62" customFormat="1" ht="13.95" customHeight="1" x14ac:dyDescent="0.3">
      <c r="A608" s="59"/>
      <c r="B608" s="17" t="s">
        <v>6</v>
      </c>
      <c r="C608" s="60"/>
      <c r="D608" s="61"/>
      <c r="E608" s="92"/>
      <c r="F608" s="20"/>
      <c r="G608" s="21">
        <f>SUM(G592:G607)</f>
        <v>448627.72682190302</v>
      </c>
      <c r="H608" s="22"/>
      <c r="I608" s="21">
        <f>SUM(I592:I607)</f>
        <v>84739.362244897959</v>
      </c>
      <c r="J608" s="22"/>
      <c r="K608" s="21">
        <f>SUM(K592:K607)</f>
        <v>0</v>
      </c>
      <c r="L608" s="21">
        <f>SUM(L590:L607)</f>
        <v>533367.08906680101</v>
      </c>
    </row>
    <row r="609" spans="1:12" s="63" customFormat="1" ht="12.75" customHeight="1" x14ac:dyDescent="0.3">
      <c r="A609" s="16"/>
      <c r="B609" s="24" t="s">
        <v>128</v>
      </c>
      <c r="C609" s="18">
        <v>0.03</v>
      </c>
      <c r="D609" s="25"/>
      <c r="E609" s="19"/>
      <c r="F609" s="20"/>
      <c r="G609" s="26"/>
      <c r="H609" s="22"/>
      <c r="I609" s="26"/>
      <c r="J609" s="22"/>
      <c r="K609" s="26"/>
      <c r="L609" s="21">
        <f>G608*C609</f>
        <v>13458.831804657089</v>
      </c>
    </row>
    <row r="610" spans="1:12" s="62" customFormat="1" ht="13.95" customHeight="1" x14ac:dyDescent="0.3">
      <c r="A610" s="59"/>
      <c r="B610" s="17" t="s">
        <v>6</v>
      </c>
      <c r="C610" s="60"/>
      <c r="D610" s="61"/>
      <c r="E610" s="92"/>
      <c r="F610" s="20"/>
      <c r="G610" s="21"/>
      <c r="H610" s="22"/>
      <c r="I610" s="21"/>
      <c r="J610" s="22"/>
      <c r="K610" s="21"/>
      <c r="L610" s="21">
        <f>L609+L608</f>
        <v>546825.92087145813</v>
      </c>
    </row>
    <row r="611" spans="1:12" s="63" customFormat="1" ht="12.75" customHeight="1" x14ac:dyDescent="0.3">
      <c r="A611" s="16"/>
      <c r="B611" s="24" t="s">
        <v>154</v>
      </c>
      <c r="C611" s="18">
        <v>1.9E-2</v>
      </c>
      <c r="D611" s="25"/>
      <c r="E611" s="19"/>
      <c r="F611" s="20"/>
      <c r="G611" s="26"/>
      <c r="H611" s="22"/>
      <c r="I611" s="26"/>
      <c r="J611" s="22"/>
      <c r="K611" s="26"/>
      <c r="L611" s="21">
        <f>L610*C611</f>
        <v>10389.692496557704</v>
      </c>
    </row>
    <row r="612" spans="1:12" s="23" customFormat="1" ht="12.75" customHeight="1" x14ac:dyDescent="0.3">
      <c r="A612" s="16"/>
      <c r="B612" s="17" t="s">
        <v>6</v>
      </c>
      <c r="C612" s="18"/>
      <c r="D612" s="19"/>
      <c r="E612" s="19"/>
      <c r="F612" s="20"/>
      <c r="G612" s="26"/>
      <c r="H612" s="22"/>
      <c r="I612" s="26"/>
      <c r="J612" s="22"/>
      <c r="K612" s="26"/>
      <c r="L612" s="21">
        <f>L611+L610</f>
        <v>557215.61336801585</v>
      </c>
    </row>
    <row r="613" spans="1:12" s="23" customFormat="1" ht="12.75" customHeight="1" x14ac:dyDescent="0.3">
      <c r="A613" s="16"/>
      <c r="B613" s="24" t="s">
        <v>17</v>
      </c>
      <c r="C613" s="18" t="e">
        <f>#REF!</f>
        <v>#REF!</v>
      </c>
      <c r="D613" s="25"/>
      <c r="E613" s="19"/>
      <c r="F613" s="20"/>
      <c r="G613" s="26"/>
      <c r="H613" s="22"/>
      <c r="I613" s="26"/>
      <c r="J613" s="22"/>
      <c r="K613" s="26"/>
      <c r="L613" s="21" t="e">
        <f>L612*C613</f>
        <v>#REF!</v>
      </c>
    </row>
    <row r="614" spans="1:12" s="23" customFormat="1" ht="12.75" customHeight="1" x14ac:dyDescent="0.3">
      <c r="A614" s="16"/>
      <c r="B614" s="17" t="s">
        <v>6</v>
      </c>
      <c r="C614" s="18"/>
      <c r="D614" s="25"/>
      <c r="E614" s="19"/>
      <c r="F614" s="20"/>
      <c r="G614" s="26"/>
      <c r="H614" s="22"/>
      <c r="I614" s="26"/>
      <c r="J614" s="22"/>
      <c r="K614" s="26"/>
      <c r="L614" s="21" t="e">
        <f>L613+L612</f>
        <v>#REF!</v>
      </c>
    </row>
    <row r="615" spans="1:12" s="10" customFormat="1" ht="15" customHeight="1" x14ac:dyDescent="0.3">
      <c r="A615" s="27"/>
      <c r="B615" s="24" t="s">
        <v>18</v>
      </c>
      <c r="C615" s="18" t="e">
        <f>#REF!</f>
        <v>#REF!</v>
      </c>
      <c r="D615" s="28"/>
      <c r="E615" s="93"/>
      <c r="F615" s="20"/>
      <c r="G615" s="26"/>
      <c r="H615" s="22"/>
      <c r="I615" s="26"/>
      <c r="J615" s="22"/>
      <c r="K615" s="26"/>
      <c r="L615" s="21" t="e">
        <f>L614*C615</f>
        <v>#REF!</v>
      </c>
    </row>
    <row r="616" spans="1:12" s="10" customFormat="1" ht="13.95" customHeight="1" x14ac:dyDescent="0.3">
      <c r="A616" s="16"/>
      <c r="B616" s="17" t="s">
        <v>6</v>
      </c>
      <c r="C616" s="29"/>
      <c r="D616" s="30"/>
      <c r="E616" s="94"/>
      <c r="F616" s="20"/>
      <c r="G616" s="26"/>
      <c r="H616" s="22"/>
      <c r="I616" s="26"/>
      <c r="J616" s="22"/>
      <c r="K616" s="26"/>
      <c r="L616" s="21" t="e">
        <f>L615+L614</f>
        <v>#REF!</v>
      </c>
    </row>
    <row r="617" spans="1:12" s="10" customFormat="1" ht="13.95" customHeight="1" x14ac:dyDescent="0.3">
      <c r="A617" s="16"/>
      <c r="B617" s="24" t="s">
        <v>129</v>
      </c>
      <c r="C617" s="18" t="e">
        <f>#REF!</f>
        <v>#REF!</v>
      </c>
      <c r="D617" s="30"/>
      <c r="E617" s="31"/>
      <c r="F617" s="20"/>
      <c r="G617" s="26"/>
      <c r="H617" s="22"/>
      <c r="I617" s="26"/>
      <c r="J617" s="22"/>
      <c r="K617" s="26"/>
      <c r="L617" s="21" t="e">
        <f>L616*C617</f>
        <v>#REF!</v>
      </c>
    </row>
    <row r="618" spans="1:12" s="10" customFormat="1" ht="14.4" customHeight="1" thickBot="1" x14ac:dyDescent="0.35">
      <c r="A618" s="32"/>
      <c r="B618" s="33" t="s">
        <v>6</v>
      </c>
      <c r="C618" s="34"/>
      <c r="D618" s="35"/>
      <c r="E618" s="36"/>
      <c r="F618" s="37"/>
      <c r="G618" s="38"/>
      <c r="H618" s="39"/>
      <c r="I618" s="38"/>
      <c r="J618" s="39"/>
      <c r="K618" s="38"/>
      <c r="L618" s="40" t="e">
        <f>L616+L617</f>
        <v>#REF!</v>
      </c>
    </row>
    <row r="619" spans="1:12" s="10" customFormat="1" ht="13.95" customHeight="1" x14ac:dyDescent="0.3">
      <c r="A619" s="16"/>
      <c r="B619" s="24" t="s">
        <v>19</v>
      </c>
      <c r="C619" s="18" t="e">
        <f>#REF!</f>
        <v>#REF!</v>
      </c>
      <c r="D619" s="30"/>
      <c r="E619" s="94"/>
      <c r="F619" s="20"/>
      <c r="G619" s="26"/>
      <c r="H619" s="22"/>
      <c r="I619" s="26"/>
      <c r="J619" s="22"/>
      <c r="K619" s="26"/>
      <c r="L619" s="21" t="e">
        <f>L618*C619</f>
        <v>#REF!</v>
      </c>
    </row>
    <row r="620" spans="1:12" s="10" customFormat="1" ht="14.4" customHeight="1" thickBot="1" x14ac:dyDescent="0.35">
      <c r="A620" s="32"/>
      <c r="B620" s="33" t="s">
        <v>6</v>
      </c>
      <c r="C620" s="34"/>
      <c r="D620" s="35"/>
      <c r="E620" s="95"/>
      <c r="F620" s="37"/>
      <c r="G620" s="38"/>
      <c r="H620" s="39"/>
      <c r="I620" s="38"/>
      <c r="J620" s="39"/>
      <c r="K620" s="38"/>
      <c r="L620" s="40" t="e">
        <f>L619+L618</f>
        <v>#REF!</v>
      </c>
    </row>
    <row r="622" spans="1:12" s="115" customFormat="1" ht="13.95" customHeight="1" x14ac:dyDescent="0.3">
      <c r="A622" s="80">
        <v>2</v>
      </c>
      <c r="B622" s="17" t="s">
        <v>184</v>
      </c>
      <c r="C622" s="75" t="s">
        <v>33</v>
      </c>
      <c r="D622" s="75"/>
      <c r="E622" s="81">
        <f>E431</f>
        <v>8186.4179999999997</v>
      </c>
      <c r="F622" s="81"/>
      <c r="G622" s="81"/>
      <c r="H622" s="81"/>
      <c r="I622" s="81"/>
      <c r="J622" s="81"/>
      <c r="K622" s="81"/>
      <c r="L622" s="82"/>
    </row>
    <row r="623" spans="1:12" s="116" customFormat="1" ht="13.95" customHeight="1" x14ac:dyDescent="0.3">
      <c r="A623" s="84"/>
      <c r="B623" s="24" t="s">
        <v>8</v>
      </c>
      <c r="C623" s="79" t="s">
        <v>33</v>
      </c>
      <c r="D623" s="79"/>
      <c r="E623" s="58">
        <f>E622</f>
        <v>8186.4179999999997</v>
      </c>
      <c r="F623" s="58"/>
      <c r="G623" s="58"/>
      <c r="H623" s="58">
        <f>60/0.8/0.98</f>
        <v>76.530612244897966</v>
      </c>
      <c r="I623" s="58">
        <f>H623*E623</f>
        <v>626511.58163265313</v>
      </c>
      <c r="J623" s="58"/>
      <c r="K623" s="58"/>
      <c r="L623" s="57">
        <f t="shared" ref="L623:L640" si="51">K623+I623+G623</f>
        <v>626511.58163265313</v>
      </c>
    </row>
    <row r="624" spans="1:12" s="116" customFormat="1" ht="13.95" customHeight="1" x14ac:dyDescent="0.3">
      <c r="A624" s="84"/>
      <c r="B624" s="24" t="s">
        <v>12</v>
      </c>
      <c r="C624" s="79"/>
      <c r="D624" s="79"/>
      <c r="E624" s="58"/>
      <c r="F624" s="58"/>
      <c r="G624" s="58"/>
      <c r="H624" s="58"/>
      <c r="I624" s="58"/>
      <c r="J624" s="58"/>
      <c r="K624" s="58"/>
      <c r="L624" s="57">
        <f t="shared" si="51"/>
        <v>0</v>
      </c>
    </row>
    <row r="625" spans="1:16" s="116" customFormat="1" ht="13.95" customHeight="1" x14ac:dyDescent="0.3">
      <c r="A625" s="84"/>
      <c r="B625" s="24" t="s">
        <v>185</v>
      </c>
      <c r="C625" s="79" t="s">
        <v>33</v>
      </c>
      <c r="D625" s="79">
        <v>1.01</v>
      </c>
      <c r="E625" s="58">
        <f>D625*E622</f>
        <v>8268.2821800000002</v>
      </c>
      <c r="F625" s="58">
        <f>80*2.73/1.18</f>
        <v>185.08474576271189</v>
      </c>
      <c r="G625" s="58">
        <f t="shared" ref="G625:G640" si="52">F625*E625</f>
        <v>1530332.9051796612</v>
      </c>
      <c r="H625" s="58"/>
      <c r="I625" s="58"/>
      <c r="J625" s="58"/>
      <c r="K625" s="58"/>
      <c r="L625" s="57">
        <f t="shared" si="51"/>
        <v>1530332.9051796612</v>
      </c>
    </row>
    <row r="626" spans="1:16" s="116" customFormat="1" ht="13.95" customHeight="1" x14ac:dyDescent="0.3">
      <c r="A626" s="84"/>
      <c r="B626" s="24" t="s">
        <v>186</v>
      </c>
      <c r="C626" s="79" t="s">
        <v>187</v>
      </c>
      <c r="D626" s="79">
        <v>3.06</v>
      </c>
      <c r="E626" s="58">
        <f>D626*E622</f>
        <v>25050.43908</v>
      </c>
      <c r="F626" s="58">
        <v>25</v>
      </c>
      <c r="G626" s="58">
        <f t="shared" si="52"/>
        <v>626260.97699999996</v>
      </c>
      <c r="H626" s="58"/>
      <c r="I626" s="58"/>
      <c r="J626" s="58"/>
      <c r="K626" s="58"/>
      <c r="L626" s="57">
        <f t="shared" si="51"/>
        <v>626260.97699999996</v>
      </c>
    </row>
    <row r="627" spans="1:16" s="116" customFormat="1" ht="13.95" customHeight="1" x14ac:dyDescent="0.3">
      <c r="A627" s="84"/>
      <c r="B627" s="24" t="s">
        <v>188</v>
      </c>
      <c r="C627" s="79" t="s">
        <v>9</v>
      </c>
      <c r="D627" s="79">
        <v>2.06</v>
      </c>
      <c r="E627" s="58">
        <f>D627*E622</f>
        <v>16864.021079999999</v>
      </c>
      <c r="F627" s="58">
        <f>9/1.18</f>
        <v>7.6271186440677967</v>
      </c>
      <c r="G627" s="58">
        <f t="shared" si="52"/>
        <v>128623.88959322033</v>
      </c>
      <c r="H627" s="58"/>
      <c r="I627" s="58"/>
      <c r="J627" s="58"/>
      <c r="K627" s="58"/>
      <c r="L627" s="57">
        <f t="shared" si="51"/>
        <v>128623.88959322033</v>
      </c>
    </row>
    <row r="628" spans="1:16" s="116" customFormat="1" ht="13.95" customHeight="1" x14ac:dyDescent="0.3">
      <c r="A628" s="84"/>
      <c r="B628" s="24" t="s">
        <v>189</v>
      </c>
      <c r="C628" s="79" t="s">
        <v>9</v>
      </c>
      <c r="D628" s="79">
        <v>2.06</v>
      </c>
      <c r="E628" s="58">
        <f>D628*E622</f>
        <v>16864.021079999999</v>
      </c>
      <c r="F628" s="58">
        <f>4/1.18</f>
        <v>3.3898305084745766</v>
      </c>
      <c r="G628" s="58">
        <f t="shared" si="52"/>
        <v>57166.173152542375</v>
      </c>
      <c r="H628" s="58"/>
      <c r="I628" s="58"/>
      <c r="J628" s="58"/>
      <c r="K628" s="58"/>
      <c r="L628" s="57">
        <f t="shared" si="51"/>
        <v>57166.173152542375</v>
      </c>
    </row>
    <row r="629" spans="1:16" s="116" customFormat="1" ht="13.95" customHeight="1" x14ac:dyDescent="0.3">
      <c r="A629" s="84"/>
      <c r="B629" s="24" t="s">
        <v>190</v>
      </c>
      <c r="C629" s="79" t="s">
        <v>9</v>
      </c>
      <c r="D629" s="79">
        <v>4.0599999999999996</v>
      </c>
      <c r="E629" s="58">
        <f>D629*E622</f>
        <v>33236.857079999994</v>
      </c>
      <c r="F629" s="58">
        <f>0.63/1.18</f>
        <v>0.53389830508474578</v>
      </c>
      <c r="G629" s="58">
        <f t="shared" si="52"/>
        <v>17745.10166135593</v>
      </c>
      <c r="H629" s="58"/>
      <c r="I629" s="58"/>
      <c r="J629" s="58"/>
      <c r="K629" s="58"/>
      <c r="L629" s="57">
        <f t="shared" si="51"/>
        <v>17745.10166135593</v>
      </c>
    </row>
    <row r="630" spans="1:16" s="116" customFormat="1" ht="13.95" customHeight="1" x14ac:dyDescent="0.3">
      <c r="A630" s="84"/>
      <c r="B630" s="24" t="s">
        <v>191</v>
      </c>
      <c r="C630" s="79" t="s">
        <v>187</v>
      </c>
      <c r="D630" s="79">
        <v>0.6</v>
      </c>
      <c r="E630" s="58">
        <f>D630*E622</f>
        <v>4911.8507999999993</v>
      </c>
      <c r="F630" s="58">
        <f>15/1.18</f>
        <v>12.711864406779661</v>
      </c>
      <c r="G630" s="58">
        <f t="shared" si="52"/>
        <v>62438.781355932195</v>
      </c>
      <c r="H630" s="58"/>
      <c r="I630" s="58"/>
      <c r="J630" s="58"/>
      <c r="K630" s="58"/>
      <c r="L630" s="57">
        <f t="shared" si="51"/>
        <v>62438.781355932195</v>
      </c>
    </row>
    <row r="631" spans="1:16" s="116" customFormat="1" ht="13.95" customHeight="1" x14ac:dyDescent="0.3">
      <c r="A631" s="84"/>
      <c r="B631" s="24" t="s">
        <v>192</v>
      </c>
      <c r="C631" s="79" t="s">
        <v>9</v>
      </c>
      <c r="D631" s="79">
        <v>2.06</v>
      </c>
      <c r="E631" s="58">
        <f>D631*E622</f>
        <v>16864.021079999999</v>
      </c>
      <c r="F631" s="58">
        <f>1.8/1.18</f>
        <v>1.5254237288135595</v>
      </c>
      <c r="G631" s="58">
        <f t="shared" si="52"/>
        <v>25724.777918644068</v>
      </c>
      <c r="H631" s="58"/>
      <c r="I631" s="58"/>
      <c r="J631" s="58"/>
      <c r="K631" s="58"/>
      <c r="L631" s="57">
        <f t="shared" si="51"/>
        <v>25724.777918644068</v>
      </c>
    </row>
    <row r="632" spans="1:16" s="116" customFormat="1" ht="27.6" customHeight="1" x14ac:dyDescent="0.3">
      <c r="A632" s="84"/>
      <c r="B632" s="24" t="s">
        <v>193</v>
      </c>
      <c r="C632" s="79" t="s">
        <v>16</v>
      </c>
      <c r="D632" s="79">
        <v>1</v>
      </c>
      <c r="E632" s="58">
        <f>D632*E622</f>
        <v>8186.4179999999997</v>
      </c>
      <c r="F632" s="58">
        <f>5/1.18</f>
        <v>4.2372881355932206</v>
      </c>
      <c r="G632" s="58">
        <f t="shared" si="52"/>
        <v>34688.211864406781</v>
      </c>
      <c r="H632" s="58"/>
      <c r="I632" s="58"/>
      <c r="J632" s="58"/>
      <c r="K632" s="58"/>
      <c r="L632" s="57">
        <f t="shared" si="51"/>
        <v>34688.211864406781</v>
      </c>
    </row>
    <row r="633" spans="1:16" s="116" customFormat="1" ht="13.95" customHeight="1" x14ac:dyDescent="0.3">
      <c r="A633" s="84"/>
      <c r="B633" s="24" t="s">
        <v>194</v>
      </c>
      <c r="C633" s="79" t="s">
        <v>9</v>
      </c>
      <c r="D633" s="79">
        <v>7</v>
      </c>
      <c r="E633" s="58">
        <f>D633*E622</f>
        <v>57304.925999999999</v>
      </c>
      <c r="F633" s="58">
        <f>0.3/1.18</f>
        <v>0.25423728813559321</v>
      </c>
      <c r="G633" s="58">
        <f t="shared" si="52"/>
        <v>14569.048983050847</v>
      </c>
      <c r="H633" s="58"/>
      <c r="I633" s="58"/>
      <c r="J633" s="58"/>
      <c r="K633" s="58"/>
      <c r="L633" s="57">
        <f t="shared" si="51"/>
        <v>14569.048983050847</v>
      </c>
    </row>
    <row r="634" spans="1:16" s="116" customFormat="1" ht="13.95" customHeight="1" x14ac:dyDescent="0.3">
      <c r="A634" s="84"/>
      <c r="B634" s="24" t="s">
        <v>195</v>
      </c>
      <c r="C634" s="79" t="s">
        <v>187</v>
      </c>
      <c r="D634" s="79">
        <v>0.16800000000000001</v>
      </c>
      <c r="E634" s="58">
        <f>D634*E622</f>
        <v>1375.3182240000001</v>
      </c>
      <c r="F634" s="58">
        <f>F626*0.78</f>
        <v>19.5</v>
      </c>
      <c r="G634" s="58">
        <f t="shared" si="52"/>
        <v>26818.705368000003</v>
      </c>
      <c r="H634" s="58"/>
      <c r="I634" s="58"/>
      <c r="J634" s="58"/>
      <c r="K634" s="58"/>
      <c r="L634" s="57">
        <f t="shared" si="51"/>
        <v>26818.705368000003</v>
      </c>
    </row>
    <row r="635" spans="1:16" s="116" customFormat="1" ht="13.95" customHeight="1" x14ac:dyDescent="0.3">
      <c r="A635" s="84"/>
      <c r="B635" s="24" t="s">
        <v>196</v>
      </c>
      <c r="C635" s="79" t="s">
        <v>9</v>
      </c>
      <c r="D635" s="79">
        <v>30</v>
      </c>
      <c r="E635" s="58">
        <f>D635*E622</f>
        <v>245592.53999999998</v>
      </c>
      <c r="F635" s="58">
        <f>0.2/1.18</f>
        <v>0.16949152542372883</v>
      </c>
      <c r="G635" s="58">
        <f t="shared" si="52"/>
        <v>41625.854237288135</v>
      </c>
      <c r="H635" s="58"/>
      <c r="I635" s="58"/>
      <c r="J635" s="58"/>
      <c r="K635" s="58"/>
      <c r="L635" s="57">
        <f t="shared" si="51"/>
        <v>41625.854237288135</v>
      </c>
    </row>
    <row r="636" spans="1:16" s="116" customFormat="1" ht="13.95" customHeight="1" x14ac:dyDescent="0.3">
      <c r="A636" s="84"/>
      <c r="B636" s="24" t="s">
        <v>197</v>
      </c>
      <c r="C636" s="79" t="s">
        <v>9</v>
      </c>
      <c r="D636" s="79">
        <v>8</v>
      </c>
      <c r="E636" s="58">
        <f>D636*E622</f>
        <v>65491.343999999997</v>
      </c>
      <c r="F636" s="58">
        <f>0.11/1.18</f>
        <v>9.3220338983050849E-2</v>
      </c>
      <c r="G636" s="58">
        <f t="shared" si="52"/>
        <v>6105.1252881355931</v>
      </c>
      <c r="H636" s="58"/>
      <c r="I636" s="58"/>
      <c r="J636" s="58"/>
      <c r="K636" s="58"/>
      <c r="L636" s="57">
        <f t="shared" si="51"/>
        <v>6105.1252881355931</v>
      </c>
    </row>
    <row r="637" spans="1:16" s="116" customFormat="1" ht="13.95" customHeight="1" x14ac:dyDescent="0.3">
      <c r="A637" s="84"/>
      <c r="B637" s="24" t="s">
        <v>198</v>
      </c>
      <c r="C637" s="79" t="s">
        <v>9</v>
      </c>
      <c r="D637" s="79">
        <v>0.08</v>
      </c>
      <c r="E637" s="58">
        <f>D637*E622</f>
        <v>654.91344000000004</v>
      </c>
      <c r="F637" s="58">
        <f>10/1.18</f>
        <v>8.4745762711864412</v>
      </c>
      <c r="G637" s="58">
        <f t="shared" si="52"/>
        <v>5550.1138983050851</v>
      </c>
      <c r="H637" s="58"/>
      <c r="I637" s="58"/>
      <c r="J637" s="58"/>
      <c r="K637" s="58"/>
      <c r="L637" s="57">
        <f t="shared" si="51"/>
        <v>5550.1138983050851</v>
      </c>
    </row>
    <row r="638" spans="1:16" s="116" customFormat="1" ht="13.95" customHeight="1" x14ac:dyDescent="0.3">
      <c r="A638" s="84"/>
      <c r="B638" s="24" t="s">
        <v>199</v>
      </c>
      <c r="C638" s="79" t="s">
        <v>9</v>
      </c>
      <c r="D638" s="79">
        <v>0.21</v>
      </c>
      <c r="E638" s="58">
        <f>D638*E622</f>
        <v>1719.1477799999998</v>
      </c>
      <c r="F638" s="58">
        <f>4/1.18</f>
        <v>3.3898305084745766</v>
      </c>
      <c r="G638" s="58">
        <f t="shared" si="52"/>
        <v>5827.6195932203391</v>
      </c>
      <c r="H638" s="58"/>
      <c r="I638" s="58"/>
      <c r="J638" s="58"/>
      <c r="K638" s="58"/>
      <c r="L638" s="57">
        <f t="shared" si="51"/>
        <v>5827.6195932203391</v>
      </c>
    </row>
    <row r="639" spans="1:16" s="116" customFormat="1" ht="13.95" customHeight="1" x14ac:dyDescent="0.3">
      <c r="A639" s="84"/>
      <c r="B639" s="24" t="s">
        <v>200</v>
      </c>
      <c r="C639" s="79" t="s">
        <v>9</v>
      </c>
      <c r="D639" s="79">
        <v>0.06</v>
      </c>
      <c r="E639" s="58">
        <f>D639*E622</f>
        <v>491.18507999999997</v>
      </c>
      <c r="F639" s="58">
        <f>8/1.18</f>
        <v>6.7796610169491531</v>
      </c>
      <c r="G639" s="58">
        <f t="shared" si="52"/>
        <v>3330.068338983051</v>
      </c>
      <c r="H639" s="58"/>
      <c r="I639" s="58"/>
      <c r="J639" s="58"/>
      <c r="K639" s="58"/>
      <c r="L639" s="57">
        <f t="shared" si="51"/>
        <v>3330.068338983051</v>
      </c>
    </row>
    <row r="640" spans="1:16" s="116" customFormat="1" ht="13.95" customHeight="1" x14ac:dyDescent="0.3">
      <c r="A640" s="84"/>
      <c r="B640" s="24" t="s">
        <v>201</v>
      </c>
      <c r="C640" s="79" t="s">
        <v>9</v>
      </c>
      <c r="D640" s="79">
        <v>0.4</v>
      </c>
      <c r="E640" s="58">
        <f>D640*E622</f>
        <v>3274.5672</v>
      </c>
      <c r="F640" s="58">
        <f>14/1.18</f>
        <v>11.864406779661017</v>
      </c>
      <c r="G640" s="58">
        <f t="shared" si="52"/>
        <v>38850.797288135596</v>
      </c>
      <c r="H640" s="58"/>
      <c r="I640" s="58"/>
      <c r="J640" s="58"/>
      <c r="K640" s="58"/>
      <c r="L640" s="57">
        <f t="shared" si="51"/>
        <v>38850.797288135596</v>
      </c>
      <c r="N640" s="118"/>
      <c r="O640" s="67"/>
      <c r="P640" s="118"/>
    </row>
    <row r="641" spans="1:12" s="62" customFormat="1" ht="13.95" customHeight="1" x14ac:dyDescent="0.3">
      <c r="A641" s="59"/>
      <c r="B641" s="17" t="s">
        <v>6</v>
      </c>
      <c r="C641" s="60"/>
      <c r="D641" s="61"/>
      <c r="E641" s="92"/>
      <c r="F641" s="20"/>
      <c r="G641" s="21">
        <f>SUM(G625:G640)</f>
        <v>2625658.1507208818</v>
      </c>
      <c r="H641" s="22"/>
      <c r="I641" s="21">
        <f>SUM(I625:I640)</f>
        <v>0</v>
      </c>
      <c r="J641" s="22"/>
      <c r="K641" s="21">
        <f>SUM(K625:K640)</f>
        <v>0</v>
      </c>
      <c r="L641" s="21">
        <f>SUM(L623:L640)</f>
        <v>3252169.732353535</v>
      </c>
    </row>
    <row r="642" spans="1:12" s="63" customFormat="1" ht="12.75" customHeight="1" x14ac:dyDescent="0.3">
      <c r="A642" s="16"/>
      <c r="B642" s="24" t="s">
        <v>128</v>
      </c>
      <c r="C642" s="18">
        <v>0.03</v>
      </c>
      <c r="D642" s="25"/>
      <c r="E642" s="19"/>
      <c r="F642" s="20"/>
      <c r="G642" s="26"/>
      <c r="H642" s="22"/>
      <c r="I642" s="26"/>
      <c r="J642" s="22"/>
      <c r="K642" s="26"/>
      <c r="L642" s="21">
        <f>G641*C642</f>
        <v>78769.744521626446</v>
      </c>
    </row>
    <row r="643" spans="1:12" s="62" customFormat="1" ht="13.95" customHeight="1" x14ac:dyDescent="0.3">
      <c r="A643" s="59"/>
      <c r="B643" s="17" t="s">
        <v>6</v>
      </c>
      <c r="C643" s="60"/>
      <c r="D643" s="61"/>
      <c r="E643" s="92"/>
      <c r="F643" s="20"/>
      <c r="G643" s="21"/>
      <c r="H643" s="22"/>
      <c r="I643" s="21"/>
      <c r="J643" s="22"/>
      <c r="K643" s="21"/>
      <c r="L643" s="21">
        <f>L642+L641</f>
        <v>3330939.4768751613</v>
      </c>
    </row>
    <row r="644" spans="1:12" s="63" customFormat="1" ht="12.75" customHeight="1" x14ac:dyDescent="0.3">
      <c r="A644" s="16"/>
      <c r="B644" s="24" t="s">
        <v>154</v>
      </c>
      <c r="C644" s="18">
        <v>1.9E-2</v>
      </c>
      <c r="D644" s="25"/>
      <c r="E644" s="19"/>
      <c r="F644" s="20"/>
      <c r="G644" s="26"/>
      <c r="H644" s="22"/>
      <c r="I644" s="26"/>
      <c r="J644" s="22"/>
      <c r="K644" s="26"/>
      <c r="L644" s="21">
        <f>L643*C644</f>
        <v>63287.850060628065</v>
      </c>
    </row>
    <row r="645" spans="1:12" s="23" customFormat="1" ht="12.75" customHeight="1" x14ac:dyDescent="0.3">
      <c r="A645" s="16"/>
      <c r="B645" s="17" t="s">
        <v>6</v>
      </c>
      <c r="C645" s="18"/>
      <c r="D645" s="19"/>
      <c r="E645" s="19"/>
      <c r="F645" s="20"/>
      <c r="G645" s="26"/>
      <c r="H645" s="22"/>
      <c r="I645" s="26"/>
      <c r="J645" s="22"/>
      <c r="K645" s="26"/>
      <c r="L645" s="21">
        <f>L644+L643</f>
        <v>3394227.3269357895</v>
      </c>
    </row>
    <row r="646" spans="1:12" s="23" customFormat="1" ht="12.75" customHeight="1" x14ac:dyDescent="0.3">
      <c r="A646" s="16"/>
      <c r="B646" s="24" t="s">
        <v>17</v>
      </c>
      <c r="C646" s="18" t="e">
        <f>#REF!</f>
        <v>#REF!</v>
      </c>
      <c r="D646" s="25"/>
      <c r="E646" s="19"/>
      <c r="F646" s="20"/>
      <c r="G646" s="26"/>
      <c r="H646" s="22"/>
      <c r="I646" s="26"/>
      <c r="J646" s="22"/>
      <c r="K646" s="26"/>
      <c r="L646" s="21" t="e">
        <f>L645*C646</f>
        <v>#REF!</v>
      </c>
    </row>
    <row r="647" spans="1:12" s="23" customFormat="1" ht="12.75" customHeight="1" x14ac:dyDescent="0.3">
      <c r="A647" s="16"/>
      <c r="B647" s="17" t="s">
        <v>6</v>
      </c>
      <c r="C647" s="18"/>
      <c r="D647" s="25"/>
      <c r="E647" s="19"/>
      <c r="F647" s="20"/>
      <c r="G647" s="26"/>
      <c r="H647" s="22"/>
      <c r="I647" s="26"/>
      <c r="J647" s="22"/>
      <c r="K647" s="26"/>
      <c r="L647" s="21" t="e">
        <f>L646+L645</f>
        <v>#REF!</v>
      </c>
    </row>
    <row r="648" spans="1:12" s="10" customFormat="1" ht="15" customHeight="1" x14ac:dyDescent="0.3">
      <c r="A648" s="27"/>
      <c r="B648" s="24" t="s">
        <v>18</v>
      </c>
      <c r="C648" s="18" t="e">
        <f>#REF!</f>
        <v>#REF!</v>
      </c>
      <c r="D648" s="28"/>
      <c r="E648" s="93"/>
      <c r="F648" s="20"/>
      <c r="G648" s="26"/>
      <c r="H648" s="22"/>
      <c r="I648" s="26"/>
      <c r="J648" s="22"/>
      <c r="K648" s="26"/>
      <c r="L648" s="21" t="e">
        <f>L647*C648</f>
        <v>#REF!</v>
      </c>
    </row>
    <row r="649" spans="1:12" s="10" customFormat="1" ht="13.95" customHeight="1" x14ac:dyDescent="0.3">
      <c r="A649" s="16"/>
      <c r="B649" s="17" t="s">
        <v>6</v>
      </c>
      <c r="C649" s="29"/>
      <c r="D649" s="30"/>
      <c r="E649" s="94"/>
      <c r="F649" s="20"/>
      <c r="G649" s="26"/>
      <c r="H649" s="22"/>
      <c r="I649" s="26"/>
      <c r="J649" s="22"/>
      <c r="K649" s="26"/>
      <c r="L649" s="21" t="e">
        <f>L648+L647</f>
        <v>#REF!</v>
      </c>
    </row>
    <row r="650" spans="1:12" s="10" customFormat="1" ht="13.95" customHeight="1" x14ac:dyDescent="0.3">
      <c r="A650" s="16"/>
      <c r="B650" s="24" t="s">
        <v>129</v>
      </c>
      <c r="C650" s="18" t="e">
        <f>#REF!</f>
        <v>#REF!</v>
      </c>
      <c r="D650" s="30"/>
      <c r="E650" s="31"/>
      <c r="F650" s="20"/>
      <c r="G650" s="26"/>
      <c r="H650" s="22"/>
      <c r="I650" s="26"/>
      <c r="J650" s="22"/>
      <c r="K650" s="26"/>
      <c r="L650" s="21" t="e">
        <f>L649*C650</f>
        <v>#REF!</v>
      </c>
    </row>
    <row r="651" spans="1:12" s="10" customFormat="1" ht="14.4" customHeight="1" thickBot="1" x14ac:dyDescent="0.35">
      <c r="A651" s="32"/>
      <c r="B651" s="33" t="s">
        <v>6</v>
      </c>
      <c r="C651" s="34"/>
      <c r="D651" s="35"/>
      <c r="E651" s="36"/>
      <c r="F651" s="37"/>
      <c r="G651" s="38"/>
      <c r="H651" s="39"/>
      <c r="I651" s="38"/>
      <c r="J651" s="39"/>
      <c r="K651" s="38"/>
      <c r="L651" s="40" t="e">
        <f>L649+L650</f>
        <v>#REF!</v>
      </c>
    </row>
    <row r="652" spans="1:12" s="10" customFormat="1" ht="13.95" customHeight="1" x14ac:dyDescent="0.3">
      <c r="A652" s="16"/>
      <c r="B652" s="24" t="s">
        <v>19</v>
      </c>
      <c r="C652" s="18" t="e">
        <f>#REF!</f>
        <v>#REF!</v>
      </c>
      <c r="D652" s="30"/>
      <c r="E652" s="94"/>
      <c r="F652" s="20"/>
      <c r="G652" s="26"/>
      <c r="H652" s="22"/>
      <c r="I652" s="26"/>
      <c r="J652" s="22"/>
      <c r="K652" s="26"/>
      <c r="L652" s="21" t="e">
        <f>L651*C652</f>
        <v>#REF!</v>
      </c>
    </row>
    <row r="653" spans="1:12" s="10" customFormat="1" ht="14.4" customHeight="1" thickBot="1" x14ac:dyDescent="0.35">
      <c r="A653" s="32"/>
      <c r="B653" s="33" t="s">
        <v>6</v>
      </c>
      <c r="C653" s="34"/>
      <c r="D653" s="35"/>
      <c r="E653" s="95"/>
      <c r="F653" s="37"/>
      <c r="G653" s="38"/>
      <c r="H653" s="39"/>
      <c r="I653" s="38"/>
      <c r="J653" s="39"/>
      <c r="K653" s="38"/>
      <c r="L653" s="40" t="e">
        <f>L652+L651</f>
        <v>#REF!</v>
      </c>
    </row>
    <row r="666" spans="1:16" s="69" customFormat="1" ht="13.95" customHeight="1" x14ac:dyDescent="0.3">
      <c r="A666" s="68">
        <v>1</v>
      </c>
      <c r="B666" s="74" t="s">
        <v>158</v>
      </c>
      <c r="C666" s="75" t="s">
        <v>9</v>
      </c>
      <c r="D666" s="75"/>
      <c r="E666" s="76">
        <v>1</v>
      </c>
      <c r="F666" s="56">
        <f>70000*2.6622/1.18</f>
        <v>157927.11864406781</v>
      </c>
      <c r="G666" s="56">
        <f>F666*E666</f>
        <v>157927.11864406781</v>
      </c>
      <c r="H666" s="56">
        <f>3000*2.6622/1.18</f>
        <v>6768.3050847457625</v>
      </c>
      <c r="I666" s="58">
        <f>H666*E666</f>
        <v>6768.3050847457625</v>
      </c>
      <c r="J666" s="76"/>
      <c r="K666" s="76"/>
      <c r="L666" s="57">
        <f>K666+I666+G666</f>
        <v>164695.42372881356</v>
      </c>
    </row>
    <row r="667" spans="1:16" s="69" customFormat="1" ht="13.95" customHeight="1" x14ac:dyDescent="0.3">
      <c r="A667" s="68">
        <v>3</v>
      </c>
      <c r="B667" s="74" t="s">
        <v>157</v>
      </c>
      <c r="C667" s="75" t="s">
        <v>9</v>
      </c>
      <c r="D667" s="75"/>
      <c r="E667" s="76">
        <v>3</v>
      </c>
      <c r="F667" s="56">
        <f>130000*2.51/1.18</f>
        <v>276525.42372881359</v>
      </c>
      <c r="G667" s="56">
        <f>F667*E667</f>
        <v>829576.27118644072</v>
      </c>
      <c r="H667" s="56">
        <f>6000*2.51/1.18</f>
        <v>12762.71186440678</v>
      </c>
      <c r="I667" s="58">
        <f>H667*E667</f>
        <v>38288.135593220337</v>
      </c>
      <c r="J667" s="76"/>
      <c r="K667" s="76"/>
      <c r="L667" s="57">
        <f>K667+I667+G667</f>
        <v>867864.40677966108</v>
      </c>
      <c r="N667" s="118"/>
      <c r="O667" s="67"/>
      <c r="P667" s="118"/>
    </row>
    <row r="669" spans="1:16" s="62" customFormat="1" ht="13.95" customHeight="1" x14ac:dyDescent="0.3">
      <c r="A669" s="59"/>
      <c r="B669" s="17" t="s">
        <v>6</v>
      </c>
      <c r="C669" s="60"/>
      <c r="D669" s="61"/>
      <c r="E669" s="92"/>
      <c r="F669" s="20"/>
      <c r="G669" s="21">
        <f>SUM(G661:G668)</f>
        <v>987503.3898305085</v>
      </c>
      <c r="H669" s="22"/>
      <c r="I669" s="21">
        <f>SUM(I661:I668)</f>
        <v>45056.4406779661</v>
      </c>
      <c r="J669" s="22"/>
      <c r="K669" s="21">
        <f>SUM(K653:K668)</f>
        <v>0</v>
      </c>
      <c r="L669" s="21">
        <f>SUM(L661:L668)</f>
        <v>1032559.8305084746</v>
      </c>
    </row>
    <row r="670" spans="1:16" s="63" customFormat="1" ht="12.75" customHeight="1" x14ac:dyDescent="0.3">
      <c r="A670" s="16"/>
      <c r="B670" s="24" t="s">
        <v>128</v>
      </c>
      <c r="C670" s="18">
        <v>0.03</v>
      </c>
      <c r="D670" s="25"/>
      <c r="E670" s="19"/>
      <c r="F670" s="20"/>
      <c r="G670" s="26"/>
      <c r="H670" s="22"/>
      <c r="I670" s="26"/>
      <c r="J670" s="22"/>
      <c r="K670" s="26"/>
      <c r="L670" s="21">
        <f>G669*C670</f>
        <v>29625.101694915254</v>
      </c>
    </row>
    <row r="671" spans="1:16" s="62" customFormat="1" ht="13.95" customHeight="1" x14ac:dyDescent="0.3">
      <c r="A671" s="59"/>
      <c r="B671" s="17" t="s">
        <v>6</v>
      </c>
      <c r="C671" s="60"/>
      <c r="D671" s="61"/>
      <c r="E671" s="92"/>
      <c r="F671" s="20"/>
      <c r="G671" s="21"/>
      <c r="H671" s="22"/>
      <c r="I671" s="21"/>
      <c r="J671" s="22"/>
      <c r="K671" s="21"/>
      <c r="L671" s="21">
        <f>L670+L669</f>
        <v>1062184.9322033899</v>
      </c>
    </row>
    <row r="672" spans="1:16" s="63" customFormat="1" ht="12.75" customHeight="1" x14ac:dyDescent="0.3">
      <c r="A672" s="16"/>
      <c r="B672" s="24" t="s">
        <v>154</v>
      </c>
      <c r="C672" s="18">
        <v>1.9E-2</v>
      </c>
      <c r="D672" s="25"/>
      <c r="E672" s="19"/>
      <c r="F672" s="20"/>
      <c r="G672" s="26"/>
      <c r="H672" s="22"/>
      <c r="I672" s="26"/>
      <c r="J672" s="22"/>
      <c r="K672" s="26"/>
      <c r="L672" s="21">
        <f>L671*C672</f>
        <v>20181.513711864409</v>
      </c>
    </row>
    <row r="673" spans="1:16" s="23" customFormat="1" ht="12.75" customHeight="1" x14ac:dyDescent="0.3">
      <c r="A673" s="16"/>
      <c r="B673" s="17" t="s">
        <v>6</v>
      </c>
      <c r="C673" s="18"/>
      <c r="D673" s="19"/>
      <c r="E673" s="19"/>
      <c r="F673" s="20"/>
      <c r="G673" s="26"/>
      <c r="H673" s="22"/>
      <c r="I673" s="26"/>
      <c r="J673" s="22"/>
      <c r="K673" s="26"/>
      <c r="L673" s="21">
        <f>L672+L671</f>
        <v>1082366.4459152543</v>
      </c>
    </row>
    <row r="674" spans="1:16" s="23" customFormat="1" ht="12.75" customHeight="1" x14ac:dyDescent="0.3">
      <c r="A674" s="16"/>
      <c r="B674" s="24" t="s">
        <v>17</v>
      </c>
      <c r="C674" s="18" t="e">
        <f>#REF!</f>
        <v>#REF!</v>
      </c>
      <c r="D674" s="25"/>
      <c r="E674" s="19"/>
      <c r="F674" s="20"/>
      <c r="G674" s="26"/>
      <c r="H674" s="22"/>
      <c r="I674" s="26"/>
      <c r="J674" s="22"/>
      <c r="K674" s="26"/>
      <c r="L674" s="21" t="e">
        <f>L673*C674</f>
        <v>#REF!</v>
      </c>
    </row>
    <row r="675" spans="1:16" s="23" customFormat="1" ht="12.75" customHeight="1" x14ac:dyDescent="0.3">
      <c r="A675" s="16"/>
      <c r="B675" s="17" t="s">
        <v>6</v>
      </c>
      <c r="C675" s="18"/>
      <c r="D675" s="25"/>
      <c r="E675" s="19"/>
      <c r="F675" s="20"/>
      <c r="G675" s="26"/>
      <c r="H675" s="22"/>
      <c r="I675" s="26"/>
      <c r="J675" s="22"/>
      <c r="K675" s="26"/>
      <c r="L675" s="21" t="e">
        <f>L674+L673</f>
        <v>#REF!</v>
      </c>
    </row>
    <row r="676" spans="1:16" s="10" customFormat="1" ht="15" customHeight="1" x14ac:dyDescent="0.3">
      <c r="A676" s="27"/>
      <c r="B676" s="24" t="s">
        <v>18</v>
      </c>
      <c r="C676" s="18" t="e">
        <f>#REF!</f>
        <v>#REF!</v>
      </c>
      <c r="D676" s="28"/>
      <c r="E676" s="93"/>
      <c r="F676" s="20"/>
      <c r="G676" s="26"/>
      <c r="H676" s="22"/>
      <c r="I676" s="26"/>
      <c r="J676" s="22"/>
      <c r="K676" s="26"/>
      <c r="L676" s="21" t="e">
        <f>L675*C676</f>
        <v>#REF!</v>
      </c>
    </row>
    <row r="677" spans="1:16" s="10" customFormat="1" ht="13.95" customHeight="1" x14ac:dyDescent="0.3">
      <c r="A677" s="16"/>
      <c r="B677" s="17" t="s">
        <v>6</v>
      </c>
      <c r="C677" s="29"/>
      <c r="D677" s="30"/>
      <c r="E677" s="94"/>
      <c r="F677" s="20"/>
      <c r="G677" s="26"/>
      <c r="H677" s="22"/>
      <c r="I677" s="26"/>
      <c r="J677" s="22"/>
      <c r="K677" s="26"/>
      <c r="L677" s="21" t="e">
        <f>L676+L675</f>
        <v>#REF!</v>
      </c>
    </row>
    <row r="678" spans="1:16" s="10" customFormat="1" ht="13.95" customHeight="1" x14ac:dyDescent="0.3">
      <c r="A678" s="16"/>
      <c r="B678" s="24" t="s">
        <v>129</v>
      </c>
      <c r="C678" s="18" t="e">
        <f>#REF!</f>
        <v>#REF!</v>
      </c>
      <c r="D678" s="30"/>
      <c r="E678" s="31"/>
      <c r="F678" s="20"/>
      <c r="G678" s="26"/>
      <c r="H678" s="22"/>
      <c r="I678" s="26"/>
      <c r="J678" s="22"/>
      <c r="K678" s="26"/>
      <c r="L678" s="21" t="e">
        <f>L677*C678</f>
        <v>#REF!</v>
      </c>
    </row>
    <row r="679" spans="1:16" s="10" customFormat="1" ht="14.4" customHeight="1" thickBot="1" x14ac:dyDescent="0.35">
      <c r="A679" s="32"/>
      <c r="B679" s="33" t="s">
        <v>6</v>
      </c>
      <c r="C679" s="34"/>
      <c r="D679" s="35"/>
      <c r="E679" s="36"/>
      <c r="F679" s="37"/>
      <c r="G679" s="38"/>
      <c r="H679" s="39"/>
      <c r="I679" s="38"/>
      <c r="J679" s="39"/>
      <c r="K679" s="38"/>
      <c r="L679" s="40" t="e">
        <f>L677+L678</f>
        <v>#REF!</v>
      </c>
    </row>
    <row r="680" spans="1:16" s="10" customFormat="1" ht="13.95" customHeight="1" x14ac:dyDescent="0.3">
      <c r="A680" s="16"/>
      <c r="B680" s="24" t="s">
        <v>19</v>
      </c>
      <c r="C680" s="18" t="e">
        <f>#REF!</f>
        <v>#REF!</v>
      </c>
      <c r="D680" s="30"/>
      <c r="E680" s="94"/>
      <c r="F680" s="20"/>
      <c r="G680" s="26"/>
      <c r="H680" s="22"/>
      <c r="I680" s="26"/>
      <c r="J680" s="22"/>
      <c r="K680" s="26"/>
      <c r="L680" s="21" t="e">
        <f>L679*C680</f>
        <v>#REF!</v>
      </c>
    </row>
    <row r="681" spans="1:16" s="10" customFormat="1" ht="14.4" customHeight="1" thickBot="1" x14ac:dyDescent="0.35">
      <c r="A681" s="32"/>
      <c r="B681" s="33" t="s">
        <v>6</v>
      </c>
      <c r="C681" s="34"/>
      <c r="D681" s="35"/>
      <c r="E681" s="95"/>
      <c r="F681" s="37"/>
      <c r="G681" s="38"/>
      <c r="H681" s="39"/>
      <c r="I681" s="38"/>
      <c r="J681" s="39"/>
      <c r="K681" s="38"/>
      <c r="L681" s="40" t="e">
        <f>L680+L679</f>
        <v>#REF!</v>
      </c>
    </row>
    <row r="687" spans="1:16" s="69" customFormat="1" ht="13.95" customHeight="1" x14ac:dyDescent="0.3">
      <c r="A687" s="68">
        <v>4</v>
      </c>
      <c r="B687" s="74" t="s">
        <v>110</v>
      </c>
      <c r="C687" s="75" t="s">
        <v>33</v>
      </c>
      <c r="D687" s="75"/>
      <c r="E687" s="76">
        <v>25850.99</v>
      </c>
      <c r="F687" s="56">
        <v>50</v>
      </c>
      <c r="G687" s="56">
        <f>F687*E687</f>
        <v>1292549.5</v>
      </c>
      <c r="H687" s="56">
        <f>10*1.27</f>
        <v>12.7</v>
      </c>
      <c r="I687" s="58">
        <f>H687*E687</f>
        <v>328307.57299999997</v>
      </c>
      <c r="J687" s="76"/>
      <c r="K687" s="76"/>
      <c r="L687" s="57">
        <f>K687+I687+G687</f>
        <v>1620857.0729999999</v>
      </c>
      <c r="N687" s="118"/>
      <c r="O687" s="67"/>
      <c r="P687" s="118"/>
    </row>
    <row r="689" spans="1:12" s="62" customFormat="1" ht="13.95" customHeight="1" x14ac:dyDescent="0.3">
      <c r="A689" s="59"/>
      <c r="B689" s="17" t="s">
        <v>6</v>
      </c>
      <c r="C689" s="60"/>
      <c r="D689" s="61"/>
      <c r="E689" s="92"/>
      <c r="F689" s="20"/>
      <c r="G689" s="21">
        <f>SUM(G682:G688)</f>
        <v>1292549.5</v>
      </c>
      <c r="H689" s="22"/>
      <c r="I689" s="21">
        <f>SUM(I682:I688)</f>
        <v>328307.57299999997</v>
      </c>
      <c r="J689" s="22"/>
      <c r="K689" s="21">
        <f>SUM(K674:K688)</f>
        <v>0</v>
      </c>
      <c r="L689" s="21">
        <f>SUM(L682:L688)</f>
        <v>1620857.0729999999</v>
      </c>
    </row>
    <row r="690" spans="1:12" s="63" customFormat="1" ht="12.75" customHeight="1" x14ac:dyDescent="0.3">
      <c r="A690" s="16"/>
      <c r="B690" s="24" t="s">
        <v>128</v>
      </c>
      <c r="C690" s="18">
        <v>0.03</v>
      </c>
      <c r="D690" s="25"/>
      <c r="E690" s="19"/>
      <c r="F690" s="20"/>
      <c r="G690" s="26"/>
      <c r="H690" s="22"/>
      <c r="I690" s="26"/>
      <c r="J690" s="22"/>
      <c r="K690" s="26"/>
      <c r="L690" s="21">
        <f>G689*C690</f>
        <v>38776.485000000001</v>
      </c>
    </row>
    <row r="691" spans="1:12" s="62" customFormat="1" ht="13.95" customHeight="1" x14ac:dyDescent="0.3">
      <c r="A691" s="59"/>
      <c r="B691" s="17" t="s">
        <v>6</v>
      </c>
      <c r="C691" s="60"/>
      <c r="D691" s="61"/>
      <c r="E691" s="92"/>
      <c r="F691" s="20"/>
      <c r="G691" s="21"/>
      <c r="H691" s="22"/>
      <c r="I691" s="21"/>
      <c r="J691" s="22"/>
      <c r="K691" s="21"/>
      <c r="L691" s="21">
        <f>L690+L689</f>
        <v>1659633.558</v>
      </c>
    </row>
    <row r="692" spans="1:12" s="63" customFormat="1" ht="12.75" customHeight="1" x14ac:dyDescent="0.3">
      <c r="A692" s="16"/>
      <c r="B692" s="24" t="s">
        <v>154</v>
      </c>
      <c r="C692" s="18">
        <v>1.9E-2</v>
      </c>
      <c r="D692" s="25"/>
      <c r="E692" s="19"/>
      <c r="F692" s="20"/>
      <c r="G692" s="26"/>
      <c r="H692" s="22"/>
      <c r="I692" s="26"/>
      <c r="J692" s="22"/>
      <c r="K692" s="26"/>
      <c r="L692" s="21">
        <f>L691*C692</f>
        <v>31533.037601999997</v>
      </c>
    </row>
    <row r="693" spans="1:12" s="23" customFormat="1" ht="12.75" customHeight="1" x14ac:dyDescent="0.3">
      <c r="A693" s="16"/>
      <c r="B693" s="17" t="s">
        <v>6</v>
      </c>
      <c r="C693" s="18"/>
      <c r="D693" s="19"/>
      <c r="E693" s="19"/>
      <c r="F693" s="20"/>
      <c r="G693" s="26"/>
      <c r="H693" s="22"/>
      <c r="I693" s="26"/>
      <c r="J693" s="22"/>
      <c r="K693" s="26"/>
      <c r="L693" s="21">
        <f>L692+L691</f>
        <v>1691166.5956019999</v>
      </c>
    </row>
    <row r="694" spans="1:12" s="23" customFormat="1" ht="12.75" customHeight="1" x14ac:dyDescent="0.3">
      <c r="A694" s="16"/>
      <c r="B694" s="24" t="s">
        <v>17</v>
      </c>
      <c r="C694" s="18" t="e">
        <f>#REF!</f>
        <v>#REF!</v>
      </c>
      <c r="D694" s="25"/>
      <c r="E694" s="19"/>
      <c r="F694" s="20"/>
      <c r="G694" s="26"/>
      <c r="H694" s="22"/>
      <c r="I694" s="26"/>
      <c r="J694" s="22"/>
      <c r="K694" s="26"/>
      <c r="L694" s="21" t="e">
        <f>L693*C694</f>
        <v>#REF!</v>
      </c>
    </row>
    <row r="695" spans="1:12" s="23" customFormat="1" ht="12.75" customHeight="1" x14ac:dyDescent="0.3">
      <c r="A695" s="16"/>
      <c r="B695" s="17" t="s">
        <v>6</v>
      </c>
      <c r="C695" s="18"/>
      <c r="D695" s="25"/>
      <c r="E695" s="19"/>
      <c r="F695" s="20"/>
      <c r="G695" s="26"/>
      <c r="H695" s="22"/>
      <c r="I695" s="26"/>
      <c r="J695" s="22"/>
      <c r="K695" s="26"/>
      <c r="L695" s="21" t="e">
        <f>L694+L693</f>
        <v>#REF!</v>
      </c>
    </row>
    <row r="696" spans="1:12" s="10" customFormat="1" ht="15" customHeight="1" x14ac:dyDescent="0.3">
      <c r="A696" s="27"/>
      <c r="B696" s="24" t="s">
        <v>18</v>
      </c>
      <c r="C696" s="18" t="e">
        <f>#REF!</f>
        <v>#REF!</v>
      </c>
      <c r="D696" s="28"/>
      <c r="E696" s="93"/>
      <c r="F696" s="20"/>
      <c r="G696" s="26"/>
      <c r="H696" s="22"/>
      <c r="I696" s="26"/>
      <c r="J696" s="22"/>
      <c r="K696" s="26"/>
      <c r="L696" s="21" t="e">
        <f>L695*C696</f>
        <v>#REF!</v>
      </c>
    </row>
    <row r="697" spans="1:12" s="10" customFormat="1" ht="13.95" customHeight="1" x14ac:dyDescent="0.3">
      <c r="A697" s="16"/>
      <c r="B697" s="17" t="s">
        <v>6</v>
      </c>
      <c r="C697" s="29"/>
      <c r="D697" s="30"/>
      <c r="E697" s="94"/>
      <c r="F697" s="20"/>
      <c r="G697" s="26"/>
      <c r="H697" s="22"/>
      <c r="I697" s="26"/>
      <c r="J697" s="22"/>
      <c r="K697" s="26"/>
      <c r="L697" s="21" t="e">
        <f>L696+L695</f>
        <v>#REF!</v>
      </c>
    </row>
    <row r="698" spans="1:12" s="10" customFormat="1" ht="13.95" customHeight="1" x14ac:dyDescent="0.3">
      <c r="A698" s="16"/>
      <c r="B698" s="24" t="s">
        <v>129</v>
      </c>
      <c r="C698" s="18" t="e">
        <f>#REF!</f>
        <v>#REF!</v>
      </c>
      <c r="D698" s="30"/>
      <c r="E698" s="31"/>
      <c r="F698" s="20"/>
      <c r="G698" s="26"/>
      <c r="H698" s="22"/>
      <c r="I698" s="26"/>
      <c r="J698" s="22"/>
      <c r="K698" s="26"/>
      <c r="L698" s="21" t="e">
        <f>L697*C698</f>
        <v>#REF!</v>
      </c>
    </row>
    <row r="699" spans="1:12" s="10" customFormat="1" ht="14.4" customHeight="1" thickBot="1" x14ac:dyDescent="0.35">
      <c r="A699" s="32"/>
      <c r="B699" s="33" t="s">
        <v>6</v>
      </c>
      <c r="C699" s="34"/>
      <c r="D699" s="35"/>
      <c r="E699" s="36"/>
      <c r="F699" s="37"/>
      <c r="G699" s="38"/>
      <c r="H699" s="39"/>
      <c r="I699" s="38"/>
      <c r="J699" s="39"/>
      <c r="K699" s="38"/>
      <c r="L699" s="40" t="e">
        <f>L697+L698</f>
        <v>#REF!</v>
      </c>
    </row>
    <row r="700" spans="1:12" s="10" customFormat="1" ht="13.95" customHeight="1" x14ac:dyDescent="0.3">
      <c r="A700" s="16"/>
      <c r="B700" s="24" t="s">
        <v>19</v>
      </c>
      <c r="C700" s="18" t="e">
        <f>#REF!</f>
        <v>#REF!</v>
      </c>
      <c r="D700" s="30"/>
      <c r="E700" s="94"/>
      <c r="F700" s="20"/>
      <c r="G700" s="26"/>
      <c r="H700" s="22"/>
      <c r="I700" s="26"/>
      <c r="J700" s="22"/>
      <c r="K700" s="26"/>
      <c r="L700" s="21" t="e">
        <f>L699*C700</f>
        <v>#REF!</v>
      </c>
    </row>
    <row r="701" spans="1:12" s="10" customFormat="1" ht="14.4" customHeight="1" thickBot="1" x14ac:dyDescent="0.35">
      <c r="A701" s="32"/>
      <c r="B701" s="33" t="s">
        <v>6</v>
      </c>
      <c r="C701" s="34"/>
      <c r="D701" s="35"/>
      <c r="E701" s="95"/>
      <c r="F701" s="37"/>
      <c r="G701" s="38"/>
      <c r="H701" s="39"/>
      <c r="I701" s="38"/>
      <c r="J701" s="39"/>
      <c r="K701" s="38"/>
      <c r="L701" s="40" t="e">
        <f>L700+L699</f>
        <v>#REF!</v>
      </c>
    </row>
  </sheetData>
  <mergeCells count="17">
    <mergeCell ref="A7:B7"/>
    <mergeCell ref="K8:L8"/>
    <mergeCell ref="A9:A10"/>
    <mergeCell ref="B9:B10"/>
    <mergeCell ref="C9:C10"/>
    <mergeCell ref="D9:E9"/>
    <mergeCell ref="F9:G9"/>
    <mergeCell ref="H9:I9"/>
    <mergeCell ref="J9:K9"/>
    <mergeCell ref="L9:L10"/>
    <mergeCell ref="A6:B6"/>
    <mergeCell ref="K6:L6"/>
    <mergeCell ref="A1:L1"/>
    <mergeCell ref="A2:L2"/>
    <mergeCell ref="A3:L3"/>
    <mergeCell ref="H5:J5"/>
    <mergeCell ref="K5:L5"/>
  </mergeCells>
  <pageMargins left="0.25" right="0.25" top="0.75" bottom="0.75" header="0.3" footer="0.3"/>
  <pageSetup scale="89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F990D-3588-4EEC-9D8F-54ABD9C57ECA}">
  <sheetPr>
    <tabColor rgb="FFFF0000"/>
  </sheetPr>
  <dimension ref="A2:XFD226"/>
  <sheetViews>
    <sheetView topLeftCell="A201" workbookViewId="0">
      <selection activeCell="B214" sqref="B214:D219"/>
    </sheetView>
  </sheetViews>
  <sheetFormatPr defaultRowHeight="14.4" x14ac:dyDescent="0.3"/>
  <cols>
    <col min="2" max="2" width="41.44140625" bestFit="1" customWidth="1"/>
    <col min="4" max="4" width="12" customWidth="1"/>
    <col min="12" max="12" width="11.33203125" customWidth="1"/>
  </cols>
  <sheetData>
    <row r="2" spans="1:17" s="1" customFormat="1" ht="15.6" x14ac:dyDescent="0.3">
      <c r="A2" s="676" t="s">
        <v>239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</row>
    <row r="3" spans="1:17" s="1" customFormat="1" ht="15.6" x14ac:dyDescent="0.3">
      <c r="A3" s="676" t="s">
        <v>146</v>
      </c>
      <c r="B3" s="676"/>
      <c r="C3" s="676"/>
      <c r="D3" s="676"/>
      <c r="E3" s="676"/>
      <c r="F3" s="676"/>
      <c r="G3" s="676"/>
      <c r="H3" s="676"/>
      <c r="I3" s="676"/>
      <c r="J3" s="676"/>
      <c r="K3" s="676"/>
      <c r="L3" s="676"/>
    </row>
    <row r="4" spans="1:17" s="1" customFormat="1" x14ac:dyDescent="0.3">
      <c r="A4" s="677"/>
      <c r="B4" s="677"/>
      <c r="C4" s="677"/>
      <c r="D4" s="677"/>
      <c r="E4" s="678"/>
      <c r="F4" s="677"/>
      <c r="G4" s="677"/>
      <c r="H4" s="677"/>
      <c r="I4" s="677"/>
      <c r="J4" s="677"/>
      <c r="K4" s="677"/>
      <c r="L4" s="677"/>
    </row>
    <row r="5" spans="1:17" s="6" customFormat="1" thickBot="1" x14ac:dyDescent="0.35">
      <c r="A5" s="2"/>
      <c r="B5" s="3"/>
      <c r="C5" s="2"/>
      <c r="D5" s="4"/>
      <c r="E5" s="89"/>
      <c r="F5" s="4"/>
      <c r="G5" s="5"/>
      <c r="H5" s="5"/>
      <c r="I5" s="5"/>
      <c r="J5" s="5"/>
      <c r="K5" s="5"/>
      <c r="L5" s="5"/>
    </row>
    <row r="6" spans="1:17" s="6" customFormat="1" thickBot="1" x14ac:dyDescent="0.35">
      <c r="A6" s="7"/>
      <c r="B6" s="7"/>
      <c r="C6" s="7"/>
      <c r="D6" s="7"/>
      <c r="E6" s="90"/>
      <c r="F6" s="4"/>
      <c r="G6" s="5"/>
      <c r="H6" s="679" t="s">
        <v>0</v>
      </c>
      <c r="I6" s="679"/>
      <c r="J6" s="679"/>
      <c r="K6" s="674">
        <f>'იატაკი '!L528</f>
        <v>0</v>
      </c>
      <c r="L6" s="675"/>
    </row>
    <row r="7" spans="1:17" s="6" customFormat="1" thickBot="1" x14ac:dyDescent="0.35">
      <c r="A7" s="682"/>
      <c r="B7" s="682"/>
      <c r="C7" s="8"/>
      <c r="D7" s="9"/>
      <c r="E7" s="89"/>
      <c r="F7" s="4"/>
      <c r="G7" s="5"/>
      <c r="H7" s="5"/>
      <c r="I7" s="5"/>
      <c r="J7" s="5"/>
      <c r="K7" s="683">
        <f>K6/K9</f>
        <v>0</v>
      </c>
      <c r="L7" s="684"/>
    </row>
    <row r="8" spans="1:17" s="6" customFormat="1" ht="13.8" x14ac:dyDescent="0.3">
      <c r="A8" s="682"/>
      <c r="B8" s="682"/>
      <c r="C8" s="2"/>
      <c r="D8" s="4"/>
      <c r="E8" s="89"/>
      <c r="F8" s="4"/>
      <c r="G8" s="5"/>
      <c r="H8" s="5"/>
      <c r="I8" s="5"/>
      <c r="J8" s="5"/>
      <c r="K8" s="5"/>
      <c r="L8" s="5"/>
    </row>
    <row r="9" spans="1:17" s="6" customFormat="1" thickBot="1" x14ac:dyDescent="0.35">
      <c r="A9" s="2"/>
      <c r="B9" s="3"/>
      <c r="C9" s="2"/>
      <c r="D9" s="4"/>
      <c r="E9" s="89"/>
      <c r="F9" s="4"/>
      <c r="G9" s="5"/>
      <c r="H9" s="5"/>
      <c r="I9" s="5"/>
      <c r="J9" s="5" t="s">
        <v>1</v>
      </c>
      <c r="K9" s="685">
        <v>2.62</v>
      </c>
      <c r="L9" s="685"/>
    </row>
    <row r="10" spans="1:17" s="101" customFormat="1" ht="33.75" customHeight="1" x14ac:dyDescent="0.3">
      <c r="A10" s="686" t="s">
        <v>20</v>
      </c>
      <c r="B10" s="691" t="s">
        <v>21</v>
      </c>
      <c r="C10" s="691" t="s">
        <v>22</v>
      </c>
      <c r="D10" s="691" t="s">
        <v>23</v>
      </c>
      <c r="E10" s="691"/>
      <c r="F10" s="688" t="s">
        <v>4</v>
      </c>
      <c r="G10" s="688"/>
      <c r="H10" s="688" t="s">
        <v>5</v>
      </c>
      <c r="I10" s="688"/>
      <c r="J10" s="688" t="s">
        <v>24</v>
      </c>
      <c r="K10" s="688"/>
      <c r="L10" s="689" t="s">
        <v>6</v>
      </c>
      <c r="M10" s="41"/>
      <c r="N10" s="41"/>
    </row>
    <row r="11" spans="1:17" s="101" customFormat="1" ht="51.75" customHeight="1" x14ac:dyDescent="0.3">
      <c r="A11" s="687"/>
      <c r="B11" s="692"/>
      <c r="C11" s="692"/>
      <c r="D11" s="81" t="s">
        <v>25</v>
      </c>
      <c r="E11" s="81" t="s">
        <v>3</v>
      </c>
      <c r="F11" s="81" t="s">
        <v>26</v>
      </c>
      <c r="G11" s="81" t="s">
        <v>6</v>
      </c>
      <c r="H11" s="81" t="s">
        <v>26</v>
      </c>
      <c r="I11" s="81" t="s">
        <v>6</v>
      </c>
      <c r="J11" s="81" t="s">
        <v>26</v>
      </c>
      <c r="K11" s="81" t="s">
        <v>6</v>
      </c>
      <c r="L11" s="690"/>
      <c r="M11" s="41"/>
      <c r="N11" s="41"/>
    </row>
    <row r="12" spans="1:17" s="48" customFormat="1" ht="13.95" customHeight="1" thickBot="1" x14ac:dyDescent="0.35">
      <c r="A12" s="42">
        <v>1</v>
      </c>
      <c r="B12" s="43">
        <v>2</v>
      </c>
      <c r="C12" s="43">
        <v>3</v>
      </c>
      <c r="D12" s="43">
        <v>4</v>
      </c>
      <c r="E12" s="127">
        <v>5</v>
      </c>
      <c r="F12" s="128">
        <v>6</v>
      </c>
      <c r="G12" s="129">
        <v>7</v>
      </c>
      <c r="H12" s="129">
        <v>8</v>
      </c>
      <c r="I12" s="129">
        <v>9</v>
      </c>
      <c r="J12" s="129">
        <v>10</v>
      </c>
      <c r="K12" s="129">
        <v>11</v>
      </c>
      <c r="L12" s="130">
        <v>12</v>
      </c>
    </row>
    <row r="13" spans="1:17" s="182" customFormat="1" ht="27" customHeight="1" x14ac:dyDescent="0.4">
      <c r="A13" s="579">
        <v>1</v>
      </c>
      <c r="B13" s="580" t="s">
        <v>475</v>
      </c>
      <c r="C13" s="581" t="s">
        <v>236</v>
      </c>
      <c r="D13" s="582"/>
      <c r="E13" s="583">
        <v>307</v>
      </c>
      <c r="F13" s="584"/>
      <c r="G13" s="585"/>
      <c r="H13" s="471"/>
      <c r="I13" s="586"/>
      <c r="J13" s="586"/>
      <c r="K13" s="586"/>
      <c r="L13" s="587"/>
      <c r="M13" s="48"/>
      <c r="O13" s="48"/>
      <c r="P13" s="48"/>
      <c r="Q13" s="48"/>
    </row>
    <row r="14" spans="1:17" s="182" customFormat="1" ht="17.399999999999999" x14ac:dyDescent="0.4">
      <c r="A14" s="588"/>
      <c r="B14" s="248" t="s">
        <v>8</v>
      </c>
      <c r="C14" s="589" t="s">
        <v>236</v>
      </c>
      <c r="D14" s="590">
        <v>1</v>
      </c>
      <c r="E14" s="503"/>
      <c r="F14" s="591"/>
      <c r="G14" s="592"/>
      <c r="H14" s="592"/>
      <c r="I14" s="592"/>
      <c r="J14" s="592"/>
      <c r="K14" s="592"/>
      <c r="L14" s="593"/>
      <c r="M14" s="48"/>
      <c r="N14" s="48"/>
      <c r="O14" s="48"/>
      <c r="P14" s="48"/>
      <c r="Q14" s="48"/>
    </row>
    <row r="15" spans="1:17" s="182" customFormat="1" ht="16.2" x14ac:dyDescent="0.4">
      <c r="A15" s="588"/>
      <c r="B15" s="248" t="s">
        <v>10</v>
      </c>
      <c r="C15" s="594" t="s">
        <v>15</v>
      </c>
      <c r="D15" s="590">
        <v>1.7000000000000001E-2</v>
      </c>
      <c r="E15" s="503"/>
      <c r="F15" s="591"/>
      <c r="G15" s="592"/>
      <c r="H15" s="592"/>
      <c r="I15" s="592"/>
      <c r="J15" s="592"/>
      <c r="K15" s="592"/>
      <c r="L15" s="593"/>
      <c r="M15" s="48"/>
      <c r="N15" s="48"/>
      <c r="O15" s="48"/>
      <c r="P15" s="48"/>
      <c r="Q15" s="48"/>
    </row>
    <row r="16" spans="1:17" s="182" customFormat="1" ht="16.2" x14ac:dyDescent="0.4">
      <c r="A16" s="588"/>
      <c r="B16" s="192" t="s">
        <v>12</v>
      </c>
      <c r="C16" s="594"/>
      <c r="D16" s="456"/>
      <c r="E16" s="456"/>
      <c r="F16" s="460"/>
      <c r="G16" s="460"/>
      <c r="H16" s="460"/>
      <c r="I16" s="459"/>
      <c r="J16" s="460"/>
      <c r="K16" s="460"/>
      <c r="L16" s="461"/>
      <c r="M16" s="48"/>
      <c r="N16" s="48"/>
      <c r="O16" s="48"/>
      <c r="P16" s="48"/>
      <c r="Q16" s="48"/>
    </row>
    <row r="17" spans="1:17" s="182" customFormat="1" ht="17.399999999999999" x14ac:dyDescent="0.4">
      <c r="A17" s="588"/>
      <c r="B17" s="595" t="s">
        <v>460</v>
      </c>
      <c r="C17" s="589" t="s">
        <v>236</v>
      </c>
      <c r="D17" s="462">
        <v>1.06</v>
      </c>
      <c r="E17" s="462"/>
      <c r="F17" s="596"/>
      <c r="G17" s="592"/>
      <c r="H17" s="592"/>
      <c r="I17" s="592"/>
      <c r="J17" s="592"/>
      <c r="K17" s="592"/>
      <c r="L17" s="593"/>
      <c r="M17" s="48"/>
      <c r="N17" s="48"/>
      <c r="O17" s="48"/>
      <c r="P17" s="48"/>
      <c r="Q17" s="48"/>
    </row>
    <row r="18" spans="1:17" s="182" customFormat="1" ht="16.2" x14ac:dyDescent="0.4">
      <c r="A18" s="588"/>
      <c r="B18" s="248" t="s">
        <v>309</v>
      </c>
      <c r="C18" s="589" t="s">
        <v>9</v>
      </c>
      <c r="D18" s="590">
        <v>6</v>
      </c>
      <c r="E18" s="503"/>
      <c r="F18" s="591"/>
      <c r="G18" s="592"/>
      <c r="H18" s="592"/>
      <c r="I18" s="592"/>
      <c r="J18" s="592"/>
      <c r="K18" s="592"/>
      <c r="L18" s="593"/>
      <c r="M18" s="48"/>
      <c r="N18" s="48"/>
      <c r="O18" s="48"/>
      <c r="P18" s="48"/>
      <c r="Q18" s="48"/>
    </row>
    <row r="19" spans="1:17" s="182" customFormat="1" ht="16.8" thickBot="1" x14ac:dyDescent="0.45">
      <c r="A19" s="597"/>
      <c r="B19" s="598" t="s">
        <v>14</v>
      </c>
      <c r="C19" s="599" t="s">
        <v>15</v>
      </c>
      <c r="D19" s="600">
        <v>0.06</v>
      </c>
      <c r="E19" s="504"/>
      <c r="F19" s="601"/>
      <c r="G19" s="602"/>
      <c r="H19" s="602"/>
      <c r="I19" s="602"/>
      <c r="J19" s="602"/>
      <c r="K19" s="602"/>
      <c r="L19" s="603"/>
      <c r="M19" s="48"/>
      <c r="N19" s="48"/>
      <c r="O19" s="48"/>
      <c r="P19" s="48"/>
      <c r="Q19" s="48"/>
    </row>
    <row r="20" spans="1:17" s="69" customFormat="1" ht="43.5" customHeight="1" x14ac:dyDescent="0.3">
      <c r="A20" s="136">
        <v>2</v>
      </c>
      <c r="B20" s="137" t="s">
        <v>462</v>
      </c>
      <c r="C20" s="134" t="s">
        <v>33</v>
      </c>
      <c r="D20" s="134"/>
      <c r="E20" s="138">
        <f>E13</f>
        <v>307</v>
      </c>
      <c r="F20" s="312"/>
      <c r="G20" s="138"/>
      <c r="H20" s="138"/>
      <c r="I20" s="138"/>
      <c r="J20" s="138"/>
      <c r="K20" s="138"/>
      <c r="L20" s="139"/>
    </row>
    <row r="21" spans="1:17" s="69" customFormat="1" ht="13.95" customHeight="1" x14ac:dyDescent="0.3">
      <c r="A21" s="80"/>
      <c r="B21" s="24" t="s">
        <v>8</v>
      </c>
      <c r="C21" s="79" t="s">
        <v>33</v>
      </c>
      <c r="D21" s="79">
        <v>1</v>
      </c>
      <c r="E21" s="58"/>
      <c r="F21" s="271"/>
      <c r="G21" s="58"/>
      <c r="H21" s="58"/>
      <c r="I21" s="58"/>
      <c r="J21" s="58"/>
      <c r="K21" s="58"/>
      <c r="L21" s="57"/>
    </row>
    <row r="22" spans="1:17" s="69" customFormat="1" ht="13.95" customHeight="1" x14ac:dyDescent="0.3">
      <c r="A22" s="80"/>
      <c r="B22" s="24" t="s">
        <v>10</v>
      </c>
      <c r="C22" s="79" t="s">
        <v>15</v>
      </c>
      <c r="D22" s="79">
        <v>1.7000000000000001E-2</v>
      </c>
      <c r="E22" s="58"/>
      <c r="F22" s="271"/>
      <c r="G22" s="58"/>
      <c r="H22" s="58"/>
      <c r="I22" s="58"/>
      <c r="J22" s="58"/>
      <c r="K22" s="58"/>
      <c r="L22" s="57"/>
    </row>
    <row r="23" spans="1:17" s="69" customFormat="1" ht="13.95" customHeight="1" x14ac:dyDescent="0.3">
      <c r="A23" s="80"/>
      <c r="B23" s="24" t="s">
        <v>12</v>
      </c>
      <c r="C23" s="79"/>
      <c r="D23" s="79"/>
      <c r="E23" s="58"/>
      <c r="F23" s="271"/>
      <c r="G23" s="58"/>
      <c r="H23" s="58"/>
      <c r="I23" s="58"/>
      <c r="J23" s="58"/>
      <c r="K23" s="58"/>
      <c r="L23" s="57"/>
    </row>
    <row r="24" spans="1:17" s="69" customFormat="1" ht="13.8" x14ac:dyDescent="0.3">
      <c r="A24" s="80"/>
      <c r="B24" s="24" t="s">
        <v>340</v>
      </c>
      <c r="C24" s="79" t="s">
        <v>13</v>
      </c>
      <c r="D24" s="79">
        <v>3</v>
      </c>
      <c r="E24" s="58"/>
      <c r="F24" s="297"/>
      <c r="G24" s="56"/>
      <c r="H24" s="58"/>
      <c r="I24" s="58"/>
      <c r="J24" s="58"/>
      <c r="K24" s="58"/>
      <c r="L24" s="57"/>
      <c r="M24" s="126"/>
    </row>
    <row r="25" spans="1:17" s="69" customFormat="1" ht="13.95" customHeight="1" x14ac:dyDescent="0.3">
      <c r="A25" s="80"/>
      <c r="B25" s="24" t="s">
        <v>480</v>
      </c>
      <c r="C25" s="79" t="s">
        <v>342</v>
      </c>
      <c r="D25" s="79">
        <v>1.02</v>
      </c>
      <c r="E25" s="58"/>
      <c r="F25" s="271"/>
      <c r="G25" s="56"/>
      <c r="H25" s="58"/>
      <c r="I25" s="58"/>
      <c r="J25" s="58"/>
      <c r="K25" s="58"/>
      <c r="L25" s="57"/>
    </row>
    <row r="26" spans="1:17" s="69" customFormat="1" ht="13.95" customHeight="1" thickBot="1" x14ac:dyDescent="0.35">
      <c r="A26" s="298"/>
      <c r="B26" s="98" t="s">
        <v>14</v>
      </c>
      <c r="C26" s="141" t="s">
        <v>15</v>
      </c>
      <c r="D26" s="141">
        <v>0.22</v>
      </c>
      <c r="E26" s="142"/>
      <c r="F26" s="311"/>
      <c r="G26" s="143"/>
      <c r="H26" s="142"/>
      <c r="I26" s="142"/>
      <c r="J26" s="142"/>
      <c r="K26" s="142"/>
      <c r="L26" s="144"/>
    </row>
    <row r="27" spans="1:17" s="184" customFormat="1" ht="27.6" customHeight="1" x14ac:dyDescent="0.3">
      <c r="A27" s="574">
        <v>4</v>
      </c>
      <c r="B27" s="270" t="s">
        <v>461</v>
      </c>
      <c r="C27" s="287" t="s">
        <v>33</v>
      </c>
      <c r="D27" s="378"/>
      <c r="E27" s="378">
        <f>E20</f>
        <v>307</v>
      </c>
      <c r="F27" s="385"/>
      <c r="G27" s="627"/>
      <c r="H27" s="627"/>
      <c r="I27" s="627"/>
      <c r="J27" s="627"/>
      <c r="K27" s="627"/>
      <c r="L27" s="575"/>
      <c r="Q27" s="285"/>
    </row>
    <row r="28" spans="1:17" s="577" customFormat="1" ht="18" customHeight="1" x14ac:dyDescent="0.3">
      <c r="A28" s="576"/>
      <c r="B28" s="286" t="s">
        <v>8</v>
      </c>
      <c r="C28" s="121" t="s">
        <v>33</v>
      </c>
      <c r="D28" s="122"/>
      <c r="E28" s="122"/>
      <c r="F28" s="388"/>
      <c r="G28" s="389"/>
      <c r="H28" s="389"/>
      <c r="I28" s="389"/>
      <c r="J28" s="389"/>
      <c r="K28" s="389"/>
      <c r="L28" s="380"/>
      <c r="Q28" s="285"/>
    </row>
    <row r="29" spans="1:17" s="577" customFormat="1" ht="18" customHeight="1" x14ac:dyDescent="0.3">
      <c r="A29" s="576"/>
      <c r="B29" s="286" t="s">
        <v>12</v>
      </c>
      <c r="C29" s="121"/>
      <c r="D29" s="122"/>
      <c r="E29" s="122"/>
      <c r="F29" s="388"/>
      <c r="G29" s="389"/>
      <c r="H29" s="389"/>
      <c r="I29" s="389"/>
      <c r="J29" s="389"/>
      <c r="K29" s="389"/>
      <c r="L29" s="380"/>
      <c r="Q29" s="285"/>
    </row>
    <row r="30" spans="1:17" s="577" customFormat="1" ht="18" customHeight="1" x14ac:dyDescent="0.3">
      <c r="A30" s="576"/>
      <c r="B30" s="286" t="s">
        <v>42</v>
      </c>
      <c r="C30" s="121" t="s">
        <v>43</v>
      </c>
      <c r="D30" s="122">
        <v>0.15</v>
      </c>
      <c r="E30" s="122"/>
      <c r="F30" s="388"/>
      <c r="G30" s="389"/>
      <c r="H30" s="389"/>
      <c r="I30" s="389"/>
      <c r="J30" s="389"/>
      <c r="K30" s="389"/>
      <c r="L30" s="380"/>
      <c r="Q30" s="285"/>
    </row>
    <row r="31" spans="1:17" s="577" customFormat="1" ht="18" customHeight="1" x14ac:dyDescent="0.3">
      <c r="A31" s="576"/>
      <c r="B31" s="286" t="s">
        <v>44</v>
      </c>
      <c r="C31" s="121" t="s">
        <v>13</v>
      </c>
      <c r="D31" s="122">
        <v>7.5</v>
      </c>
      <c r="E31" s="122"/>
      <c r="F31" s="388"/>
      <c r="G31" s="389"/>
      <c r="H31" s="389"/>
      <c r="I31" s="389"/>
      <c r="J31" s="389"/>
      <c r="K31" s="389"/>
      <c r="L31" s="380"/>
      <c r="Q31" s="285"/>
    </row>
    <row r="32" spans="1:17" s="577" customFormat="1" ht="18" customHeight="1" x14ac:dyDescent="0.3">
      <c r="A32" s="576"/>
      <c r="B32" s="286" t="s">
        <v>45</v>
      </c>
      <c r="C32" s="121" t="s">
        <v>28</v>
      </c>
      <c r="D32" s="122">
        <v>0.3</v>
      </c>
      <c r="E32" s="122"/>
      <c r="F32" s="388"/>
      <c r="G32" s="389"/>
      <c r="H32" s="389"/>
      <c r="I32" s="389"/>
      <c r="J32" s="389"/>
      <c r="K32" s="389"/>
      <c r="L32" s="380"/>
      <c r="Q32" s="285"/>
    </row>
    <row r="33" spans="1:17" s="577" customFormat="1" ht="18" customHeight="1" x14ac:dyDescent="0.3">
      <c r="A33" s="576"/>
      <c r="B33" s="645" t="s">
        <v>46</v>
      </c>
      <c r="C33" s="121" t="s">
        <v>30</v>
      </c>
      <c r="D33" s="122">
        <v>1.1000000000000001</v>
      </c>
      <c r="E33" s="122"/>
      <c r="F33" s="388"/>
      <c r="G33" s="388"/>
      <c r="H33" s="389"/>
      <c r="I33" s="389"/>
      <c r="J33" s="389"/>
      <c r="K33" s="389"/>
      <c r="L33" s="380"/>
      <c r="Q33" s="285"/>
    </row>
    <row r="34" spans="1:17" s="577" customFormat="1" ht="18" customHeight="1" x14ac:dyDescent="0.3">
      <c r="A34" s="576"/>
      <c r="B34" s="286" t="s">
        <v>47</v>
      </c>
      <c r="C34" s="121" t="s">
        <v>13</v>
      </c>
      <c r="D34" s="122">
        <v>0.25</v>
      </c>
      <c r="E34" s="122"/>
      <c r="F34" s="388"/>
      <c r="G34" s="389"/>
      <c r="H34" s="389"/>
      <c r="I34" s="389"/>
      <c r="J34" s="389"/>
      <c r="K34" s="389"/>
      <c r="L34" s="380"/>
      <c r="Q34" s="285"/>
    </row>
    <row r="35" spans="1:17" s="577" customFormat="1" ht="18" customHeight="1" x14ac:dyDescent="0.3">
      <c r="A35" s="576"/>
      <c r="B35" s="286" t="s">
        <v>48</v>
      </c>
      <c r="C35" s="121" t="s">
        <v>13</v>
      </c>
      <c r="D35" s="122">
        <v>4</v>
      </c>
      <c r="E35" s="122"/>
      <c r="F35" s="388"/>
      <c r="G35" s="389"/>
      <c r="H35" s="389"/>
      <c r="I35" s="389"/>
      <c r="J35" s="389"/>
      <c r="K35" s="389"/>
      <c r="L35" s="380"/>
      <c r="Q35" s="285"/>
    </row>
    <row r="36" spans="1:17" s="578" customFormat="1" ht="18" customHeight="1" x14ac:dyDescent="0.3">
      <c r="A36" s="576"/>
      <c r="B36" s="286" t="s">
        <v>49</v>
      </c>
      <c r="C36" s="121" t="s">
        <v>13</v>
      </c>
      <c r="D36" s="122">
        <v>0.45</v>
      </c>
      <c r="E36" s="122"/>
      <c r="F36" s="388"/>
      <c r="G36" s="389"/>
      <c r="H36" s="389"/>
      <c r="I36" s="389"/>
      <c r="J36" s="389"/>
      <c r="K36" s="389"/>
      <c r="L36" s="380"/>
      <c r="Q36" s="285"/>
    </row>
    <row r="37" spans="1:17" s="578" customFormat="1" ht="18" customHeight="1" thickBot="1" x14ac:dyDescent="0.35">
      <c r="A37" s="628"/>
      <c r="B37" s="381" t="s">
        <v>14</v>
      </c>
      <c r="C37" s="124" t="s">
        <v>15</v>
      </c>
      <c r="D37" s="125">
        <v>1.2999999999999999E-3</v>
      </c>
      <c r="E37" s="125"/>
      <c r="F37" s="411"/>
      <c r="G37" s="411"/>
      <c r="H37" s="412"/>
      <c r="I37" s="412"/>
      <c r="J37" s="412"/>
      <c r="K37" s="412"/>
      <c r="L37" s="382"/>
      <c r="Q37" s="285"/>
    </row>
    <row r="38" spans="1:17" s="69" customFormat="1" ht="39" customHeight="1" x14ac:dyDescent="0.3">
      <c r="A38" s="97">
        <v>5</v>
      </c>
      <c r="B38" s="137" t="s">
        <v>369</v>
      </c>
      <c r="C38" s="134" t="s">
        <v>33</v>
      </c>
      <c r="D38" s="422"/>
      <c r="E38" s="423">
        <v>69.3</v>
      </c>
      <c r="F38" s="502"/>
      <c r="G38" s="423"/>
      <c r="H38" s="423"/>
      <c r="I38" s="423"/>
      <c r="J38" s="423"/>
      <c r="K38" s="423"/>
      <c r="L38" s="424"/>
    </row>
    <row r="39" spans="1:17" s="69" customFormat="1" ht="12.75" customHeight="1" x14ac:dyDescent="0.3">
      <c r="A39" s="247"/>
      <c r="B39" s="24" t="s">
        <v>8</v>
      </c>
      <c r="C39" s="79" t="s">
        <v>33</v>
      </c>
      <c r="D39" s="425">
        <v>1</v>
      </c>
      <c r="E39" s="426"/>
      <c r="F39" s="426"/>
      <c r="G39" s="427"/>
      <c r="H39" s="426"/>
      <c r="I39" s="426"/>
      <c r="J39" s="426"/>
      <c r="K39" s="426"/>
      <c r="L39" s="428"/>
    </row>
    <row r="40" spans="1:17" s="69" customFormat="1" ht="12.75" customHeight="1" x14ac:dyDescent="0.3">
      <c r="A40" s="247"/>
      <c r="B40" s="24" t="s">
        <v>12</v>
      </c>
      <c r="C40" s="79"/>
      <c r="D40" s="425"/>
      <c r="E40" s="426"/>
      <c r="F40" s="426"/>
      <c r="G40" s="427"/>
      <c r="H40" s="426"/>
      <c r="I40" s="426"/>
      <c r="J40" s="426"/>
      <c r="K40" s="426"/>
      <c r="L40" s="428"/>
    </row>
    <row r="41" spans="1:17" s="69" customFormat="1" ht="12.75" customHeight="1" x14ac:dyDescent="0.3">
      <c r="A41" s="247"/>
      <c r="B41" s="24" t="s">
        <v>313</v>
      </c>
      <c r="C41" s="79" t="s">
        <v>33</v>
      </c>
      <c r="D41" s="425">
        <v>1.1000000000000001</v>
      </c>
      <c r="E41" s="426"/>
      <c r="F41" s="503"/>
      <c r="G41" s="427"/>
      <c r="H41" s="426"/>
      <c r="I41" s="426"/>
      <c r="J41" s="426"/>
      <c r="K41" s="426"/>
      <c r="L41" s="428"/>
    </row>
    <row r="42" spans="1:17" s="69" customFormat="1" ht="12.75" customHeight="1" x14ac:dyDescent="0.3">
      <c r="A42" s="247"/>
      <c r="B42" s="24" t="s">
        <v>311</v>
      </c>
      <c r="C42" s="79" t="s">
        <v>33</v>
      </c>
      <c r="D42" s="425">
        <v>2.1</v>
      </c>
      <c r="E42" s="426"/>
      <c r="F42" s="503"/>
      <c r="G42" s="427"/>
      <c r="H42" s="426"/>
      <c r="I42" s="426"/>
      <c r="J42" s="426"/>
      <c r="K42" s="426"/>
      <c r="L42" s="428"/>
    </row>
    <row r="43" spans="1:17" s="69" customFormat="1" ht="12.75" customHeight="1" x14ac:dyDescent="0.3">
      <c r="A43" s="247"/>
      <c r="B43" s="24" t="s">
        <v>398</v>
      </c>
      <c r="C43" s="79" t="s">
        <v>7</v>
      </c>
      <c r="D43" s="425">
        <v>2</v>
      </c>
      <c r="E43" s="426"/>
      <c r="F43" s="503"/>
      <c r="G43" s="427"/>
      <c r="H43" s="426"/>
      <c r="I43" s="426"/>
      <c r="J43" s="426"/>
      <c r="K43" s="426"/>
      <c r="L43" s="428"/>
    </row>
    <row r="44" spans="1:17" s="69" customFormat="1" ht="12.75" customHeight="1" x14ac:dyDescent="0.3">
      <c r="A44" s="247"/>
      <c r="B44" s="24" t="s">
        <v>401</v>
      </c>
      <c r="C44" s="79" t="s">
        <v>33</v>
      </c>
      <c r="D44" s="425">
        <v>1.05</v>
      </c>
      <c r="E44" s="426"/>
      <c r="F44" s="503"/>
      <c r="G44" s="427"/>
      <c r="H44" s="426"/>
      <c r="I44" s="426"/>
      <c r="J44" s="426"/>
      <c r="K44" s="426"/>
      <c r="L44" s="428"/>
    </row>
    <row r="45" spans="1:17" s="69" customFormat="1" ht="12.75" customHeight="1" x14ac:dyDescent="0.3">
      <c r="A45" s="247"/>
      <c r="B45" s="24" t="s">
        <v>312</v>
      </c>
      <c r="C45" s="79" t="s">
        <v>229</v>
      </c>
      <c r="D45" s="425">
        <v>1.05</v>
      </c>
      <c r="E45" s="426"/>
      <c r="F45" s="503"/>
      <c r="G45" s="427"/>
      <c r="H45" s="426"/>
      <c r="I45" s="426"/>
      <c r="J45" s="426"/>
      <c r="K45" s="426"/>
      <c r="L45" s="428"/>
    </row>
    <row r="46" spans="1:17" s="69" customFormat="1" ht="12.75" customHeight="1" x14ac:dyDescent="0.3">
      <c r="A46" s="247"/>
      <c r="B46" s="24" t="s">
        <v>264</v>
      </c>
      <c r="C46" s="79" t="s">
        <v>9</v>
      </c>
      <c r="D46" s="425">
        <v>1.6</v>
      </c>
      <c r="E46" s="426"/>
      <c r="F46" s="503"/>
      <c r="G46" s="427"/>
      <c r="H46" s="426"/>
      <c r="I46" s="426"/>
      <c r="J46" s="426"/>
      <c r="K46" s="426"/>
      <c r="L46" s="428"/>
    </row>
    <row r="47" spans="1:17" s="69" customFormat="1" ht="12.75" customHeight="1" x14ac:dyDescent="0.3">
      <c r="A47" s="247"/>
      <c r="B47" s="24" t="s">
        <v>81</v>
      </c>
      <c r="C47" s="79" t="s">
        <v>9</v>
      </c>
      <c r="D47" s="425">
        <v>7</v>
      </c>
      <c r="E47" s="426"/>
      <c r="F47" s="503"/>
      <c r="G47" s="427"/>
      <c r="H47" s="426"/>
      <c r="I47" s="426"/>
      <c r="J47" s="426"/>
      <c r="K47" s="426"/>
      <c r="L47" s="428"/>
    </row>
    <row r="48" spans="1:17" s="69" customFormat="1" ht="12.75" customHeight="1" thickBot="1" x14ac:dyDescent="0.35">
      <c r="A48" s="279"/>
      <c r="B48" s="98" t="s">
        <v>82</v>
      </c>
      <c r="C48" s="141" t="s">
        <v>9</v>
      </c>
      <c r="D48" s="429">
        <v>15</v>
      </c>
      <c r="E48" s="419"/>
      <c r="F48" s="504"/>
      <c r="G48" s="430"/>
      <c r="H48" s="419"/>
      <c r="I48" s="419"/>
      <c r="J48" s="419"/>
      <c r="K48" s="419"/>
      <c r="L48" s="431"/>
    </row>
    <row r="49" spans="1:12" s="69" customFormat="1" ht="21.75" customHeight="1" thickBot="1" x14ac:dyDescent="0.35">
      <c r="A49" s="566"/>
      <c r="B49" s="629" t="s">
        <v>302</v>
      </c>
      <c r="C49" s="629"/>
      <c r="D49" s="629"/>
      <c r="E49" s="630"/>
      <c r="F49" s="630"/>
      <c r="G49" s="630"/>
      <c r="H49" s="630"/>
      <c r="I49" s="630"/>
      <c r="J49" s="630"/>
      <c r="K49" s="630"/>
      <c r="L49" s="631"/>
    </row>
    <row r="50" spans="1:12" s="158" customFormat="1" ht="26.4" x14ac:dyDescent="0.3">
      <c r="A50" s="402">
        <v>1</v>
      </c>
      <c r="B50" s="403" t="s">
        <v>303</v>
      </c>
      <c r="C50" s="161" t="s">
        <v>33</v>
      </c>
      <c r="D50" s="404"/>
      <c r="E50" s="162">
        <v>37.4</v>
      </c>
      <c r="F50" s="163"/>
      <c r="G50" s="163"/>
      <c r="H50" s="163"/>
      <c r="I50" s="163"/>
      <c r="J50" s="163"/>
      <c r="K50" s="163"/>
      <c r="L50" s="205"/>
    </row>
    <row r="51" spans="1:12" s="158" customFormat="1" ht="13.8" x14ac:dyDescent="0.3">
      <c r="A51" s="172"/>
      <c r="B51" s="248" t="s">
        <v>8</v>
      </c>
      <c r="C51" s="159" t="s">
        <v>33</v>
      </c>
      <c r="D51" s="165">
        <v>1</v>
      </c>
      <c r="E51" s="159"/>
      <c r="F51" s="165"/>
      <c r="G51" s="166"/>
      <c r="H51" s="165"/>
      <c r="I51" s="165"/>
      <c r="J51" s="165"/>
      <c r="K51" s="165"/>
      <c r="L51" s="160"/>
    </row>
    <row r="52" spans="1:12" s="158" customFormat="1" ht="13.8" x14ac:dyDescent="0.3">
      <c r="A52" s="172"/>
      <c r="B52" s="248" t="s">
        <v>12</v>
      </c>
      <c r="C52" s="159"/>
      <c r="D52" s="165"/>
      <c r="E52" s="159"/>
      <c r="F52" s="165"/>
      <c r="G52" s="166"/>
      <c r="H52" s="165"/>
      <c r="I52" s="165"/>
      <c r="J52" s="165"/>
      <c r="K52" s="165"/>
      <c r="L52" s="160"/>
    </row>
    <row r="53" spans="1:12" s="158" customFormat="1" ht="27.6" x14ac:dyDescent="0.3">
      <c r="A53" s="172"/>
      <c r="B53" s="248" t="s">
        <v>304</v>
      </c>
      <c r="C53" s="159" t="s">
        <v>33</v>
      </c>
      <c r="D53" s="165">
        <v>1.05</v>
      </c>
      <c r="E53" s="159"/>
      <c r="F53" s="165"/>
      <c r="G53" s="166"/>
      <c r="H53" s="165"/>
      <c r="I53" s="165"/>
      <c r="J53" s="165"/>
      <c r="K53" s="165"/>
      <c r="L53" s="160"/>
    </row>
    <row r="54" spans="1:12" s="158" customFormat="1" thickBot="1" x14ac:dyDescent="0.35">
      <c r="A54" s="405"/>
      <c r="B54" s="248" t="s">
        <v>14</v>
      </c>
      <c r="C54" s="168" t="s">
        <v>30</v>
      </c>
      <c r="D54" s="170">
        <v>1</v>
      </c>
      <c r="E54" s="168"/>
      <c r="F54" s="170"/>
      <c r="G54" s="169"/>
      <c r="H54" s="170"/>
      <c r="I54" s="170"/>
      <c r="J54" s="170"/>
      <c r="K54" s="170"/>
      <c r="L54" s="171"/>
    </row>
    <row r="55" spans="1:12" s="69" customFormat="1" ht="27.6" x14ac:dyDescent="0.3">
      <c r="A55" s="136">
        <v>2</v>
      </c>
      <c r="B55" s="137" t="s">
        <v>270</v>
      </c>
      <c r="C55" s="134" t="s">
        <v>33</v>
      </c>
      <c r="D55" s="134"/>
      <c r="E55" s="138">
        <f>E50</f>
        <v>37.4</v>
      </c>
      <c r="F55" s="138"/>
      <c r="G55" s="138"/>
      <c r="H55" s="138"/>
      <c r="I55" s="138"/>
      <c r="J55" s="138"/>
      <c r="K55" s="138"/>
      <c r="L55" s="139"/>
    </row>
    <row r="56" spans="1:12" s="69" customFormat="1" ht="13.8" x14ac:dyDescent="0.3">
      <c r="A56" s="78"/>
      <c r="B56" s="24" t="s">
        <v>8</v>
      </c>
      <c r="C56" s="79" t="s">
        <v>33</v>
      </c>
      <c r="D56" s="79">
        <v>1</v>
      </c>
      <c r="E56" s="58"/>
      <c r="F56" s="58"/>
      <c r="G56" s="58"/>
      <c r="H56" s="58"/>
      <c r="I56" s="58"/>
      <c r="J56" s="58"/>
      <c r="K56" s="58"/>
      <c r="L56" s="57"/>
    </row>
    <row r="57" spans="1:12" s="69" customFormat="1" ht="13.8" x14ac:dyDescent="0.3">
      <c r="A57" s="78"/>
      <c r="B57" s="24" t="s">
        <v>10</v>
      </c>
      <c r="C57" s="79" t="s">
        <v>15</v>
      </c>
      <c r="D57" s="79">
        <v>1.7000000000000001E-2</v>
      </c>
      <c r="E57" s="58"/>
      <c r="F57" s="58"/>
      <c r="G57" s="58"/>
      <c r="H57" s="58"/>
      <c r="I57" s="58"/>
      <c r="J57" s="58"/>
      <c r="K57" s="58"/>
      <c r="L57" s="57"/>
    </row>
    <row r="58" spans="1:12" s="69" customFormat="1" ht="13.8" x14ac:dyDescent="0.3">
      <c r="A58" s="78"/>
      <c r="B58" s="24" t="s">
        <v>12</v>
      </c>
      <c r="C58" s="79"/>
      <c r="D58" s="79"/>
      <c r="E58" s="58"/>
      <c r="F58" s="58"/>
      <c r="G58" s="58"/>
      <c r="H58" s="58"/>
      <c r="I58" s="58"/>
      <c r="J58" s="58"/>
      <c r="K58" s="58"/>
      <c r="L58" s="57"/>
    </row>
    <row r="59" spans="1:12" s="69" customFormat="1" ht="18.75" customHeight="1" x14ac:dyDescent="0.3">
      <c r="A59" s="78"/>
      <c r="B59" s="24" t="s">
        <v>330</v>
      </c>
      <c r="C59" s="79" t="s">
        <v>33</v>
      </c>
      <c r="D59" s="79">
        <v>1.05</v>
      </c>
      <c r="E59" s="58"/>
      <c r="F59" s="56"/>
      <c r="G59" s="56"/>
      <c r="H59" s="58"/>
      <c r="I59" s="58"/>
      <c r="J59" s="58"/>
      <c r="K59" s="58"/>
      <c r="L59" s="57"/>
    </row>
    <row r="60" spans="1:12" s="69" customFormat="1" thickBot="1" x14ac:dyDescent="0.35">
      <c r="A60" s="140"/>
      <c r="B60" s="98" t="s">
        <v>14</v>
      </c>
      <c r="C60" s="141" t="s">
        <v>15</v>
      </c>
      <c r="D60" s="141">
        <v>0.22</v>
      </c>
      <c r="E60" s="142"/>
      <c r="F60" s="142"/>
      <c r="G60" s="143"/>
      <c r="H60" s="142"/>
      <c r="I60" s="142"/>
      <c r="J60" s="142"/>
      <c r="K60" s="142"/>
      <c r="L60" s="144"/>
    </row>
    <row r="61" spans="1:12" s="158" customFormat="1" ht="27.75" customHeight="1" x14ac:dyDescent="0.3">
      <c r="A61" s="194">
        <v>3</v>
      </c>
      <c r="B61" s="137" t="s">
        <v>220</v>
      </c>
      <c r="C61" s="134" t="s">
        <v>33</v>
      </c>
      <c r="D61" s="161"/>
      <c r="E61" s="162">
        <f>E55</f>
        <v>37.4</v>
      </c>
      <c r="F61" s="163"/>
      <c r="G61" s="163"/>
      <c r="H61" s="163"/>
      <c r="I61" s="163"/>
      <c r="J61" s="163"/>
      <c r="K61" s="163"/>
      <c r="L61" s="164"/>
    </row>
    <row r="62" spans="1:12" s="158" customFormat="1" ht="13.8" x14ac:dyDescent="0.3">
      <c r="A62" s="78"/>
      <c r="B62" s="24" t="s">
        <v>8</v>
      </c>
      <c r="C62" s="79" t="s">
        <v>33</v>
      </c>
      <c r="D62" s="159">
        <v>1</v>
      </c>
      <c r="E62" s="159"/>
      <c r="F62" s="165"/>
      <c r="G62" s="165"/>
      <c r="H62" s="165"/>
      <c r="I62" s="165"/>
      <c r="J62" s="165"/>
      <c r="K62" s="165"/>
      <c r="L62" s="160"/>
    </row>
    <row r="63" spans="1:12" s="158" customFormat="1" ht="13.8" x14ac:dyDescent="0.3">
      <c r="A63" s="78"/>
      <c r="B63" s="24" t="s">
        <v>10</v>
      </c>
      <c r="C63" s="79" t="s">
        <v>15</v>
      </c>
      <c r="D63" s="159">
        <v>1.7000000000000001E-2</v>
      </c>
      <c r="E63" s="159"/>
      <c r="F63" s="165"/>
      <c r="G63" s="165"/>
      <c r="H63" s="165"/>
      <c r="I63" s="165"/>
      <c r="J63" s="58"/>
      <c r="K63" s="165"/>
      <c r="L63" s="160"/>
    </row>
    <row r="64" spans="1:12" s="158" customFormat="1" ht="13.8" x14ac:dyDescent="0.3">
      <c r="A64" s="78"/>
      <c r="B64" s="24" t="s">
        <v>12</v>
      </c>
      <c r="C64" s="79"/>
      <c r="D64" s="159"/>
      <c r="E64" s="159"/>
      <c r="F64" s="165"/>
      <c r="G64" s="165"/>
      <c r="H64" s="165"/>
      <c r="I64" s="165"/>
      <c r="J64" s="165"/>
      <c r="K64" s="165"/>
      <c r="L64" s="160"/>
    </row>
    <row r="65" spans="1:17" s="158" customFormat="1" ht="13.8" x14ac:dyDescent="0.3">
      <c r="A65" s="78"/>
      <c r="B65" s="24" t="s">
        <v>215</v>
      </c>
      <c r="C65" s="79" t="s">
        <v>33</v>
      </c>
      <c r="D65" s="159">
        <v>1.05</v>
      </c>
      <c r="E65" s="159"/>
      <c r="F65" s="166"/>
      <c r="G65" s="166"/>
      <c r="H65" s="165"/>
      <c r="I65" s="165"/>
      <c r="J65" s="165"/>
      <c r="K65" s="165"/>
      <c r="L65" s="160"/>
    </row>
    <row r="66" spans="1:17" s="158" customFormat="1" thickBot="1" x14ac:dyDescent="0.35">
      <c r="A66" s="198"/>
      <c r="B66" s="24" t="s">
        <v>14</v>
      </c>
      <c r="C66" s="141" t="s">
        <v>15</v>
      </c>
      <c r="D66" s="168">
        <v>0.06</v>
      </c>
      <c r="E66" s="168"/>
      <c r="F66" s="142"/>
      <c r="G66" s="169"/>
      <c r="H66" s="170"/>
      <c r="I66" s="170"/>
      <c r="J66" s="170"/>
      <c r="K66" s="170"/>
      <c r="L66" s="171"/>
    </row>
    <row r="67" spans="1:17" s="69" customFormat="1" ht="29.25" customHeight="1" x14ac:dyDescent="0.3">
      <c r="A67" s="97">
        <v>4</v>
      </c>
      <c r="B67" s="137" t="s">
        <v>227</v>
      </c>
      <c r="C67" s="134" t="s">
        <v>33</v>
      </c>
      <c r="D67" s="134"/>
      <c r="E67" s="138">
        <v>37.4</v>
      </c>
      <c r="F67" s="138"/>
      <c r="G67" s="138"/>
      <c r="H67" s="138"/>
      <c r="I67" s="138"/>
      <c r="J67" s="138"/>
      <c r="K67" s="138"/>
      <c r="L67" s="139"/>
    </row>
    <row r="68" spans="1:17" s="69" customFormat="1" ht="13.95" customHeight="1" x14ac:dyDescent="0.3">
      <c r="A68" s="78"/>
      <c r="B68" s="24" t="s">
        <v>8</v>
      </c>
      <c r="C68" s="79" t="s">
        <v>33</v>
      </c>
      <c r="D68" s="79">
        <v>1</v>
      </c>
      <c r="E68" s="58"/>
      <c r="F68" s="58"/>
      <c r="G68" s="58"/>
      <c r="H68" s="58"/>
      <c r="I68" s="58"/>
      <c r="J68" s="58"/>
      <c r="K68" s="58"/>
      <c r="L68" s="57"/>
    </row>
    <row r="69" spans="1:17" s="69" customFormat="1" ht="13.95" customHeight="1" x14ac:dyDescent="0.3">
      <c r="A69" s="78"/>
      <c r="B69" s="24" t="s">
        <v>10</v>
      </c>
      <c r="C69" s="79" t="s">
        <v>15</v>
      </c>
      <c r="D69" s="180">
        <v>1</v>
      </c>
      <c r="E69" s="58"/>
      <c r="F69" s="58"/>
      <c r="G69" s="58"/>
      <c r="H69" s="58"/>
      <c r="I69" s="58"/>
      <c r="J69" s="58"/>
      <c r="K69" s="58"/>
      <c r="L69" s="57"/>
    </row>
    <row r="70" spans="1:17" s="69" customFormat="1" ht="13.95" customHeight="1" x14ac:dyDescent="0.3">
      <c r="A70" s="78"/>
      <c r="B70" s="24" t="s">
        <v>12</v>
      </c>
      <c r="C70" s="79"/>
      <c r="D70" s="79"/>
      <c r="E70" s="58"/>
      <c r="F70" s="58"/>
      <c r="G70" s="58"/>
      <c r="H70" s="58"/>
      <c r="I70" s="58"/>
      <c r="J70" s="58"/>
      <c r="K70" s="58"/>
      <c r="L70" s="57"/>
      <c r="N70" s="118"/>
    </row>
    <row r="71" spans="1:17" s="69" customFormat="1" ht="13.95" customHeight="1" x14ac:dyDescent="0.3">
      <c r="A71" s="78"/>
      <c r="B71" s="24" t="s">
        <v>269</v>
      </c>
      <c r="C71" s="79" t="s">
        <v>27</v>
      </c>
      <c r="D71" s="79">
        <f>(2.04+0.51*6)/100</f>
        <v>5.0999999999999997E-2</v>
      </c>
      <c r="E71" s="122"/>
      <c r="F71" s="275"/>
      <c r="G71" s="166"/>
      <c r="H71" s="165"/>
      <c r="I71" s="165"/>
      <c r="J71" s="165"/>
      <c r="K71" s="58"/>
      <c r="L71" s="57"/>
    </row>
    <row r="72" spans="1:17" s="184" customFormat="1" ht="18" customHeight="1" x14ac:dyDescent="0.3">
      <c r="A72" s="272"/>
      <c r="B72" s="24" t="s">
        <v>122</v>
      </c>
      <c r="C72" s="273" t="s">
        <v>27</v>
      </c>
      <c r="D72" s="218">
        <f>0.05*1.23</f>
        <v>6.1499999999999999E-2</v>
      </c>
      <c r="E72" s="274"/>
      <c r="F72" s="56"/>
      <c r="G72" s="166"/>
      <c r="H72" s="201"/>
      <c r="I72" s="201"/>
      <c r="J72" s="201"/>
      <c r="K72" s="201"/>
      <c r="L72" s="160"/>
      <c r="M72"/>
      <c r="N72"/>
      <c r="O72"/>
      <c r="P72"/>
      <c r="Q72"/>
    </row>
    <row r="73" spans="1:17" s="184" customFormat="1" ht="18" customHeight="1" x14ac:dyDescent="0.3">
      <c r="A73" s="272"/>
      <c r="B73" s="24" t="s">
        <v>138</v>
      </c>
      <c r="C73" s="273" t="s">
        <v>228</v>
      </c>
      <c r="D73" s="218">
        <f>0.05*0.306</f>
        <v>1.5300000000000001E-2</v>
      </c>
      <c r="E73" s="274"/>
      <c r="F73" s="56"/>
      <c r="G73" s="166"/>
      <c r="H73" s="201"/>
      <c r="I73" s="201"/>
      <c r="J73" s="201"/>
      <c r="K73" s="201"/>
      <c r="L73" s="160"/>
      <c r="M73"/>
      <c r="N73"/>
      <c r="O73"/>
      <c r="P73"/>
      <c r="Q73"/>
    </row>
    <row r="74" spans="1:17" s="69" customFormat="1" ht="13.95" customHeight="1" x14ac:dyDescent="0.3">
      <c r="A74" s="78"/>
      <c r="B74" s="24" t="s">
        <v>480</v>
      </c>
      <c r="C74" s="79" t="s">
        <v>33</v>
      </c>
      <c r="D74" s="79">
        <v>1.03</v>
      </c>
      <c r="E74" s="58"/>
      <c r="F74" s="56"/>
      <c r="G74" s="56"/>
      <c r="H74" s="58"/>
      <c r="I74" s="58"/>
      <c r="J74" s="58"/>
      <c r="K74" s="58"/>
      <c r="L74" s="57"/>
    </row>
    <row r="75" spans="1:17" s="69" customFormat="1" ht="13.95" customHeight="1" thickBot="1" x14ac:dyDescent="0.35">
      <c r="A75" s="140"/>
      <c r="B75" s="98" t="s">
        <v>14</v>
      </c>
      <c r="C75" s="141" t="s">
        <v>15</v>
      </c>
      <c r="D75" s="141">
        <v>1</v>
      </c>
      <c r="E75" s="142"/>
      <c r="F75" s="142"/>
      <c r="G75" s="143"/>
      <c r="H75" s="142"/>
      <c r="I75" s="142"/>
      <c r="J75" s="142"/>
      <c r="K75" s="142"/>
      <c r="L75" s="144"/>
    </row>
    <row r="76" spans="1:17" s="69" customFormat="1" ht="27.6" x14ac:dyDescent="0.3">
      <c r="A76" s="194">
        <v>5</v>
      </c>
      <c r="B76" s="137" t="s">
        <v>219</v>
      </c>
      <c r="C76" s="134" t="s">
        <v>33</v>
      </c>
      <c r="D76" s="134"/>
      <c r="E76" s="138">
        <f>E67</f>
        <v>37.4</v>
      </c>
      <c r="F76" s="138"/>
      <c r="G76" s="138"/>
      <c r="H76" s="138"/>
      <c r="I76" s="138"/>
      <c r="J76" s="138"/>
      <c r="K76" s="138"/>
      <c r="L76" s="139"/>
    </row>
    <row r="77" spans="1:17" s="69" customFormat="1" ht="13.95" customHeight="1" x14ac:dyDescent="0.3">
      <c r="A77" s="78"/>
      <c r="B77" s="24" t="s">
        <v>8</v>
      </c>
      <c r="C77" s="79" t="s">
        <v>33</v>
      </c>
      <c r="D77" s="79">
        <v>1</v>
      </c>
      <c r="E77" s="58"/>
      <c r="F77" s="58"/>
      <c r="G77" s="58"/>
      <c r="H77" s="58"/>
      <c r="I77" s="58"/>
      <c r="J77" s="58"/>
      <c r="K77" s="58"/>
      <c r="L77" s="57"/>
    </row>
    <row r="78" spans="1:17" s="69" customFormat="1" ht="13.95" customHeight="1" x14ac:dyDescent="0.3">
      <c r="A78" s="78"/>
      <c r="B78" s="24" t="s">
        <v>10</v>
      </c>
      <c r="C78" s="79" t="s">
        <v>15</v>
      </c>
      <c r="D78" s="79">
        <v>1.7000000000000001E-2</v>
      </c>
      <c r="E78" s="58"/>
      <c r="F78" s="58"/>
      <c r="G78" s="58"/>
      <c r="H78" s="58"/>
      <c r="I78" s="58"/>
      <c r="J78" s="58"/>
      <c r="K78" s="58"/>
      <c r="L78" s="57"/>
    </row>
    <row r="79" spans="1:17" s="69" customFormat="1" ht="13.95" customHeight="1" x14ac:dyDescent="0.3">
      <c r="A79" s="78"/>
      <c r="B79" s="24" t="s">
        <v>12</v>
      </c>
      <c r="C79" s="79"/>
      <c r="D79" s="79"/>
      <c r="E79" s="58"/>
      <c r="F79" s="58"/>
      <c r="G79" s="58"/>
      <c r="H79" s="58"/>
      <c r="I79" s="58"/>
      <c r="J79" s="58"/>
      <c r="K79" s="58"/>
      <c r="L79" s="57"/>
    </row>
    <row r="80" spans="1:17" s="69" customFormat="1" ht="42.75" customHeight="1" x14ac:dyDescent="0.3">
      <c r="A80" s="78"/>
      <c r="B80" s="24" t="s">
        <v>214</v>
      </c>
      <c r="C80" s="79" t="s">
        <v>13</v>
      </c>
      <c r="D80" s="79">
        <v>3.3</v>
      </c>
      <c r="E80" s="58"/>
      <c r="F80" s="297"/>
      <c r="G80" s="56"/>
      <c r="H80" s="58"/>
      <c r="I80" s="58"/>
      <c r="J80" s="58"/>
      <c r="K80" s="58"/>
      <c r="L80" s="57"/>
      <c r="M80" s="126"/>
    </row>
    <row r="81" spans="1:16384" s="69" customFormat="1" ht="13.95" customHeight="1" thickBot="1" x14ac:dyDescent="0.35">
      <c r="A81" s="140"/>
      <c r="B81" s="98" t="s">
        <v>14</v>
      </c>
      <c r="C81" s="141" t="s">
        <v>15</v>
      </c>
      <c r="D81" s="141">
        <v>0.22</v>
      </c>
      <c r="E81" s="142"/>
      <c r="F81" s="142"/>
      <c r="G81" s="143"/>
      <c r="H81" s="142"/>
      <c r="I81" s="142"/>
      <c r="J81" s="142"/>
      <c r="K81" s="142"/>
      <c r="L81" s="144"/>
    </row>
    <row r="82" spans="1:16384" s="69" customFormat="1" ht="27.6" customHeight="1" x14ac:dyDescent="0.5">
      <c r="A82" s="136">
        <v>6</v>
      </c>
      <c r="B82" s="137" t="s">
        <v>259</v>
      </c>
      <c r="C82" s="134" t="s">
        <v>33</v>
      </c>
      <c r="D82" s="134"/>
      <c r="E82" s="138">
        <f>E76</f>
        <v>37.4</v>
      </c>
      <c r="F82" s="138"/>
      <c r="G82" s="138"/>
      <c r="H82" s="138"/>
      <c r="I82" s="138"/>
      <c r="J82" s="138"/>
      <c r="K82" s="138"/>
      <c r="L82" s="139"/>
      <c r="M82" s="604"/>
    </row>
    <row r="83" spans="1:16384" s="69" customFormat="1" ht="13.95" customHeight="1" x14ac:dyDescent="0.3">
      <c r="A83" s="78"/>
      <c r="B83" s="24" t="s">
        <v>8</v>
      </c>
      <c r="C83" s="79" t="s">
        <v>33</v>
      </c>
      <c r="D83" s="79">
        <v>1</v>
      </c>
      <c r="E83" s="58"/>
      <c r="F83" s="58"/>
      <c r="G83" s="56"/>
      <c r="H83" s="58"/>
      <c r="I83" s="58"/>
      <c r="J83" s="58"/>
      <c r="K83" s="58"/>
      <c r="L83" s="57"/>
    </row>
    <row r="84" spans="1:16384" s="69" customFormat="1" ht="13.95" customHeight="1" x14ac:dyDescent="0.3">
      <c r="A84" s="78"/>
      <c r="B84" s="24" t="s">
        <v>10</v>
      </c>
      <c r="C84" s="79" t="s">
        <v>15</v>
      </c>
      <c r="D84" s="79">
        <f>0.08</f>
        <v>0.08</v>
      </c>
      <c r="E84" s="58"/>
      <c r="F84" s="58"/>
      <c r="G84" s="56"/>
      <c r="H84" s="58"/>
      <c r="I84" s="58"/>
      <c r="J84" s="58"/>
      <c r="K84" s="58"/>
      <c r="L84" s="57"/>
    </row>
    <row r="85" spans="1:16384" s="69" customFormat="1" ht="13.95" customHeight="1" x14ac:dyDescent="0.3">
      <c r="A85" s="78"/>
      <c r="B85" s="24" t="s">
        <v>12</v>
      </c>
      <c r="C85" s="79"/>
      <c r="D85" s="79"/>
      <c r="E85" s="58"/>
      <c r="F85" s="297"/>
      <c r="G85" s="56"/>
      <c r="H85" s="58"/>
      <c r="I85" s="58"/>
      <c r="J85" s="58"/>
      <c r="K85" s="58"/>
      <c r="L85" s="57"/>
    </row>
    <row r="86" spans="1:16384" s="69" customFormat="1" ht="13.95" customHeight="1" x14ac:dyDescent="0.3">
      <c r="A86" s="78"/>
      <c r="B86" s="24" t="s">
        <v>242</v>
      </c>
      <c r="C86" s="79" t="s">
        <v>33</v>
      </c>
      <c r="D86" s="79">
        <f>1.05</f>
        <v>1.05</v>
      </c>
      <c r="E86" s="58"/>
      <c r="F86" s="297"/>
      <c r="G86" s="56"/>
      <c r="H86" s="58"/>
      <c r="I86" s="58"/>
      <c r="J86" s="58"/>
      <c r="K86" s="58"/>
      <c r="L86" s="57"/>
    </row>
    <row r="87" spans="1:16384" s="69" customFormat="1" ht="13.95" customHeight="1" x14ac:dyDescent="0.3">
      <c r="A87" s="78"/>
      <c r="B87" s="24" t="s">
        <v>328</v>
      </c>
      <c r="C87" s="79" t="s">
        <v>13</v>
      </c>
      <c r="D87" s="79">
        <v>5</v>
      </c>
      <c r="E87" s="58"/>
      <c r="F87" s="297"/>
      <c r="G87" s="56"/>
      <c r="H87" s="58"/>
      <c r="I87" s="58"/>
      <c r="J87" s="58"/>
      <c r="K87" s="58"/>
      <c r="L87" s="57"/>
    </row>
    <row r="88" spans="1:16384" s="69" customFormat="1" ht="13.95" customHeight="1" x14ac:dyDescent="0.3">
      <c r="A88" s="78"/>
      <c r="B88" s="24" t="s">
        <v>243</v>
      </c>
      <c r="C88" s="79" t="s">
        <v>13</v>
      </c>
      <c r="D88" s="79">
        <v>0.15</v>
      </c>
      <c r="E88" s="58"/>
      <c r="F88" s="297"/>
      <c r="G88" s="56"/>
      <c r="H88" s="58"/>
      <c r="I88" s="58"/>
      <c r="J88" s="58"/>
      <c r="K88" s="58"/>
      <c r="L88" s="57"/>
    </row>
    <row r="89" spans="1:16384" s="69" customFormat="1" ht="13.95" customHeight="1" thickBot="1" x14ac:dyDescent="0.35">
      <c r="A89" s="140"/>
      <c r="B89" s="98" t="s">
        <v>14</v>
      </c>
      <c r="C89" s="141" t="s">
        <v>15</v>
      </c>
      <c r="D89" s="141">
        <f>0.19</f>
        <v>0.19</v>
      </c>
      <c r="E89" s="142"/>
      <c r="F89" s="313"/>
      <c r="G89" s="143"/>
      <c r="H89" s="142"/>
      <c r="I89" s="142"/>
      <c r="J89" s="142"/>
      <c r="K89" s="142"/>
      <c r="L89" s="144"/>
    </row>
    <row r="90" spans="1:16384" s="226" customFormat="1" ht="15" thickBot="1" x14ac:dyDescent="0.35">
      <c r="A90" s="220"/>
      <c r="B90" s="227" t="s">
        <v>459</v>
      </c>
      <c r="C90" s="222"/>
      <c r="D90" s="222"/>
      <c r="E90" s="223"/>
      <c r="F90" s="434"/>
      <c r="G90" s="224"/>
      <c r="H90" s="223"/>
      <c r="I90" s="223"/>
      <c r="J90" s="223"/>
      <c r="K90" s="223"/>
      <c r="L90" s="225"/>
      <c r="M90" s="605"/>
      <c r="N90" s="308"/>
      <c r="O90" s="307"/>
      <c r="P90" s="307"/>
      <c r="Q90" s="309"/>
      <c r="R90" s="309"/>
      <c r="S90" s="310"/>
      <c r="T90" s="309"/>
      <c r="U90" s="309"/>
      <c r="V90" s="309"/>
      <c r="W90" s="309"/>
      <c r="X90" s="310"/>
      <c r="Y90" s="307"/>
      <c r="Z90" s="308"/>
      <c r="AA90" s="307"/>
      <c r="AB90" s="307"/>
      <c r="AC90" s="309"/>
      <c r="AD90" s="309"/>
      <c r="AE90" s="310"/>
      <c r="AF90" s="309"/>
      <c r="AG90" s="309"/>
      <c r="AH90" s="309"/>
      <c r="AI90" s="309"/>
      <c r="AJ90" s="310"/>
      <c r="AK90" s="307"/>
      <c r="AL90" s="308"/>
      <c r="AM90" s="307"/>
      <c r="AN90" s="307"/>
      <c r="AO90" s="309"/>
      <c r="AP90" s="309"/>
      <c r="AQ90" s="314"/>
      <c r="AR90" s="223"/>
      <c r="AS90" s="223"/>
      <c r="AT90" s="223"/>
      <c r="AU90" s="223"/>
      <c r="AV90" s="225"/>
      <c r="AW90" s="220"/>
      <c r="AX90" s="221"/>
      <c r="AY90" s="222"/>
      <c r="AZ90" s="222"/>
      <c r="BA90" s="223"/>
      <c r="BB90" s="223"/>
      <c r="BC90" s="224"/>
      <c r="BD90" s="223"/>
      <c r="BE90" s="223"/>
      <c r="BF90" s="223"/>
      <c r="BG90" s="223"/>
      <c r="BH90" s="225"/>
      <c r="BI90" s="220"/>
      <c r="BJ90" s="221"/>
      <c r="BK90" s="222"/>
      <c r="BL90" s="222"/>
      <c r="BM90" s="223"/>
      <c r="BN90" s="223"/>
      <c r="BO90" s="224"/>
      <c r="BP90" s="223"/>
      <c r="BQ90" s="223"/>
      <c r="BR90" s="223"/>
      <c r="BS90" s="223"/>
      <c r="BT90" s="225"/>
      <c r="BU90" s="220"/>
      <c r="BV90" s="221"/>
      <c r="BW90" s="222"/>
      <c r="BX90" s="222"/>
      <c r="BY90" s="223"/>
      <c r="BZ90" s="223"/>
      <c r="CA90" s="224"/>
      <c r="CB90" s="223"/>
      <c r="CC90" s="223"/>
      <c r="CD90" s="223"/>
      <c r="CE90" s="223"/>
      <c r="CF90" s="225"/>
      <c r="CG90" s="220"/>
      <c r="CH90" s="221"/>
      <c r="CI90" s="222"/>
      <c r="CJ90" s="222"/>
      <c r="CK90" s="223"/>
      <c r="CL90" s="223"/>
      <c r="CM90" s="224"/>
      <c r="CN90" s="223"/>
      <c r="CO90" s="223"/>
      <c r="CP90" s="223"/>
      <c r="CQ90" s="223"/>
      <c r="CR90" s="225"/>
      <c r="CS90" s="220"/>
      <c r="CT90" s="221"/>
      <c r="CU90" s="222"/>
      <c r="CV90" s="222"/>
      <c r="CW90" s="223"/>
      <c r="CX90" s="223"/>
      <c r="CY90" s="224"/>
      <c r="CZ90" s="223"/>
      <c r="DA90" s="223"/>
      <c r="DB90" s="223"/>
      <c r="DC90" s="223"/>
      <c r="DD90" s="225"/>
      <c r="DE90" s="220"/>
      <c r="DF90" s="221"/>
      <c r="DG90" s="222"/>
      <c r="DH90" s="222"/>
      <c r="DI90" s="223"/>
      <c r="DJ90" s="223"/>
      <c r="DK90" s="224"/>
      <c r="DL90" s="223"/>
      <c r="DM90" s="223"/>
      <c r="DN90" s="223"/>
      <c r="DO90" s="223"/>
      <c r="DP90" s="225"/>
      <c r="DQ90" s="220"/>
      <c r="DR90" s="221"/>
      <c r="DS90" s="222"/>
      <c r="DT90" s="222"/>
      <c r="DU90" s="223"/>
      <c r="DV90" s="223"/>
      <c r="DW90" s="224"/>
      <c r="DX90" s="223"/>
      <c r="DY90" s="223"/>
      <c r="DZ90" s="223"/>
      <c r="EA90" s="223"/>
      <c r="EB90" s="225"/>
      <c r="EC90" s="220"/>
      <c r="ED90" s="221"/>
      <c r="EE90" s="222"/>
      <c r="EF90" s="222"/>
      <c r="EG90" s="223"/>
      <c r="EH90" s="223"/>
      <c r="EI90" s="224"/>
      <c r="EJ90" s="223"/>
      <c r="EK90" s="223"/>
      <c r="EL90" s="223"/>
      <c r="EM90" s="223"/>
      <c r="EN90" s="225"/>
      <c r="EO90" s="220"/>
      <c r="EP90" s="221"/>
      <c r="EQ90" s="222"/>
      <c r="ER90" s="222"/>
      <c r="ES90" s="223"/>
      <c r="ET90" s="223"/>
      <c r="EU90" s="224"/>
      <c r="EV90" s="223"/>
      <c r="EW90" s="223"/>
      <c r="EX90" s="223"/>
      <c r="EY90" s="223"/>
      <c r="EZ90" s="225"/>
      <c r="FA90" s="220"/>
      <c r="FB90" s="221"/>
      <c r="FC90" s="222"/>
      <c r="FD90" s="222"/>
      <c r="FE90" s="223"/>
      <c r="FF90" s="223"/>
      <c r="FG90" s="224"/>
      <c r="FH90" s="223"/>
      <c r="FI90" s="223"/>
      <c r="FJ90" s="223"/>
      <c r="FK90" s="223"/>
      <c r="FL90" s="225"/>
      <c r="FM90" s="220"/>
      <c r="FN90" s="221"/>
      <c r="FO90" s="222"/>
      <c r="FP90" s="222"/>
      <c r="FQ90" s="223"/>
      <c r="FR90" s="223"/>
      <c r="FS90" s="224"/>
      <c r="FT90" s="223"/>
      <c r="FU90" s="223"/>
      <c r="FV90" s="223"/>
      <c r="FW90" s="223"/>
      <c r="FX90" s="225"/>
      <c r="FY90" s="220"/>
      <c r="FZ90" s="221"/>
      <c r="GA90" s="222"/>
      <c r="GB90" s="222"/>
      <c r="GC90" s="223"/>
      <c r="GD90" s="223"/>
      <c r="GE90" s="224"/>
      <c r="GF90" s="223"/>
      <c r="GG90" s="223"/>
      <c r="GH90" s="223"/>
      <c r="GI90" s="223"/>
      <c r="GJ90" s="225"/>
      <c r="GK90" s="220"/>
      <c r="GL90" s="221"/>
      <c r="GM90" s="222"/>
      <c r="GN90" s="222"/>
      <c r="GO90" s="223"/>
      <c r="GP90" s="223"/>
      <c r="GQ90" s="224"/>
      <c r="GR90" s="223"/>
      <c r="GS90" s="223"/>
      <c r="GT90" s="223"/>
      <c r="GU90" s="223"/>
      <c r="GV90" s="225"/>
      <c r="GW90" s="220"/>
      <c r="GX90" s="221"/>
      <c r="GY90" s="222"/>
      <c r="GZ90" s="222"/>
      <c r="HA90" s="223"/>
      <c r="HB90" s="223"/>
      <c r="HC90" s="224"/>
      <c r="HD90" s="223"/>
      <c r="HE90" s="223"/>
      <c r="HF90" s="223"/>
      <c r="HG90" s="223"/>
      <c r="HH90" s="225"/>
      <c r="HI90" s="220"/>
      <c r="HJ90" s="221"/>
      <c r="HK90" s="222"/>
      <c r="HL90" s="222"/>
      <c r="HM90" s="223"/>
      <c r="HN90" s="223"/>
      <c r="HO90" s="224"/>
      <c r="HP90" s="223"/>
      <c r="HQ90" s="223"/>
      <c r="HR90" s="223"/>
      <c r="HS90" s="223"/>
      <c r="HT90" s="225"/>
      <c r="HU90" s="220"/>
      <c r="HV90" s="221"/>
      <c r="HW90" s="222"/>
      <c r="HX90" s="222"/>
      <c r="HY90" s="223"/>
      <c r="HZ90" s="223"/>
      <c r="IA90" s="224"/>
      <c r="IB90" s="223"/>
      <c r="IC90" s="223"/>
      <c r="ID90" s="223"/>
      <c r="IE90" s="223"/>
      <c r="IF90" s="225"/>
      <c r="IG90" s="220"/>
      <c r="IH90" s="221"/>
      <c r="II90" s="222"/>
      <c r="IJ90" s="222"/>
      <c r="IK90" s="223"/>
      <c r="IL90" s="223"/>
      <c r="IM90" s="224"/>
      <c r="IN90" s="223"/>
      <c r="IO90" s="223"/>
      <c r="IP90" s="223"/>
      <c r="IQ90" s="223"/>
      <c r="IR90" s="225"/>
      <c r="IS90" s="220"/>
      <c r="IT90" s="221"/>
      <c r="IU90" s="222"/>
      <c r="IV90" s="222"/>
      <c r="IW90" s="223"/>
      <c r="IX90" s="223"/>
      <c r="IY90" s="224"/>
      <c r="IZ90" s="223"/>
      <c r="JA90" s="223"/>
      <c r="JB90" s="223"/>
      <c r="JC90" s="223"/>
      <c r="JD90" s="225"/>
      <c r="JE90" s="220"/>
      <c r="JF90" s="221"/>
      <c r="JG90" s="222"/>
      <c r="JH90" s="222"/>
      <c r="JI90" s="223"/>
      <c r="JJ90" s="223"/>
      <c r="JK90" s="224"/>
      <c r="JL90" s="223"/>
      <c r="JM90" s="223"/>
      <c r="JN90" s="223"/>
      <c r="JO90" s="223"/>
      <c r="JP90" s="225"/>
      <c r="JQ90" s="220"/>
      <c r="JR90" s="221"/>
      <c r="JS90" s="222"/>
      <c r="JT90" s="222"/>
      <c r="JU90" s="223"/>
      <c r="JV90" s="223"/>
      <c r="JW90" s="224"/>
      <c r="JX90" s="223"/>
      <c r="JY90" s="223"/>
      <c r="JZ90" s="223"/>
      <c r="KA90" s="223"/>
      <c r="KB90" s="225"/>
      <c r="KC90" s="220"/>
      <c r="KD90" s="221"/>
      <c r="KE90" s="222"/>
      <c r="KF90" s="222"/>
      <c r="KG90" s="223"/>
      <c r="KH90" s="223"/>
      <c r="KI90" s="224"/>
      <c r="KJ90" s="223"/>
      <c r="KK90" s="223"/>
      <c r="KL90" s="223"/>
      <c r="KM90" s="223"/>
      <c r="KN90" s="225"/>
      <c r="KO90" s="220"/>
      <c r="KP90" s="221"/>
      <c r="KQ90" s="222"/>
      <c r="KR90" s="222"/>
      <c r="KS90" s="223"/>
      <c r="KT90" s="223"/>
      <c r="KU90" s="224"/>
      <c r="KV90" s="223"/>
      <c r="KW90" s="223"/>
      <c r="KX90" s="223"/>
      <c r="KY90" s="223"/>
      <c r="KZ90" s="225"/>
      <c r="LA90" s="220"/>
      <c r="LB90" s="221"/>
      <c r="LC90" s="222"/>
      <c r="LD90" s="222"/>
      <c r="LE90" s="223"/>
      <c r="LF90" s="223"/>
      <c r="LG90" s="224"/>
      <c r="LH90" s="223"/>
      <c r="LI90" s="223"/>
      <c r="LJ90" s="223"/>
      <c r="LK90" s="223"/>
      <c r="LL90" s="225"/>
      <c r="LM90" s="220"/>
      <c r="LN90" s="221"/>
      <c r="LO90" s="222"/>
      <c r="LP90" s="222"/>
      <c r="LQ90" s="223"/>
      <c r="LR90" s="223"/>
      <c r="LS90" s="224"/>
      <c r="LT90" s="223"/>
      <c r="LU90" s="223"/>
      <c r="LV90" s="223"/>
      <c r="LW90" s="223"/>
      <c r="LX90" s="225"/>
      <c r="LY90" s="220"/>
      <c r="LZ90" s="221"/>
      <c r="MA90" s="222"/>
      <c r="MB90" s="222"/>
      <c r="MC90" s="223"/>
      <c r="MD90" s="223"/>
      <c r="ME90" s="224"/>
      <c r="MF90" s="223"/>
      <c r="MG90" s="223"/>
      <c r="MH90" s="223"/>
      <c r="MI90" s="223"/>
      <c r="MJ90" s="225"/>
      <c r="MK90" s="220"/>
      <c r="ML90" s="221"/>
      <c r="MM90" s="222"/>
      <c r="MN90" s="222"/>
      <c r="MO90" s="223"/>
      <c r="MP90" s="223"/>
      <c r="MQ90" s="224"/>
      <c r="MR90" s="223"/>
      <c r="MS90" s="223"/>
      <c r="MT90" s="223"/>
      <c r="MU90" s="223"/>
      <c r="MV90" s="225"/>
      <c r="MW90" s="220"/>
      <c r="MX90" s="221"/>
      <c r="MY90" s="222"/>
      <c r="MZ90" s="222"/>
      <c r="NA90" s="223"/>
      <c r="NB90" s="223"/>
      <c r="NC90" s="224"/>
      <c r="ND90" s="223"/>
      <c r="NE90" s="223"/>
      <c r="NF90" s="223"/>
      <c r="NG90" s="223"/>
      <c r="NH90" s="225"/>
      <c r="NI90" s="220"/>
      <c r="NJ90" s="221"/>
      <c r="NK90" s="222"/>
      <c r="NL90" s="222"/>
      <c r="NM90" s="223"/>
      <c r="NN90" s="223"/>
      <c r="NO90" s="224"/>
      <c r="NP90" s="223"/>
      <c r="NQ90" s="223"/>
      <c r="NR90" s="223"/>
      <c r="NS90" s="223"/>
      <c r="NT90" s="225"/>
      <c r="NU90" s="220"/>
      <c r="NV90" s="221"/>
      <c r="NW90" s="222"/>
      <c r="NX90" s="222"/>
      <c r="NY90" s="223"/>
      <c r="NZ90" s="223"/>
      <c r="OA90" s="224"/>
      <c r="OB90" s="223"/>
      <c r="OC90" s="223"/>
      <c r="OD90" s="223"/>
      <c r="OE90" s="223"/>
      <c r="OF90" s="225"/>
      <c r="OG90" s="220"/>
      <c r="OH90" s="221"/>
      <c r="OI90" s="222"/>
      <c r="OJ90" s="222"/>
      <c r="OK90" s="223"/>
      <c r="OL90" s="223"/>
      <c r="OM90" s="224"/>
      <c r="ON90" s="223"/>
      <c r="OO90" s="223"/>
      <c r="OP90" s="223"/>
      <c r="OQ90" s="223"/>
      <c r="OR90" s="225"/>
      <c r="OS90" s="220"/>
      <c r="OT90" s="221"/>
      <c r="OU90" s="222"/>
      <c r="OV90" s="222"/>
      <c r="OW90" s="223"/>
      <c r="OX90" s="223"/>
      <c r="OY90" s="224"/>
      <c r="OZ90" s="223"/>
      <c r="PA90" s="223"/>
      <c r="PB90" s="223"/>
      <c r="PC90" s="223"/>
      <c r="PD90" s="225"/>
      <c r="PE90" s="220"/>
      <c r="PF90" s="221"/>
      <c r="PG90" s="222"/>
      <c r="PH90" s="222"/>
      <c r="PI90" s="223"/>
      <c r="PJ90" s="223"/>
      <c r="PK90" s="224"/>
      <c r="PL90" s="223"/>
      <c r="PM90" s="223"/>
      <c r="PN90" s="223"/>
      <c r="PO90" s="223"/>
      <c r="PP90" s="225"/>
      <c r="PQ90" s="220"/>
      <c r="PR90" s="221"/>
      <c r="PS90" s="222"/>
      <c r="PT90" s="222"/>
      <c r="PU90" s="223"/>
      <c r="PV90" s="223"/>
      <c r="PW90" s="224"/>
      <c r="PX90" s="223"/>
      <c r="PY90" s="223"/>
      <c r="PZ90" s="223"/>
      <c r="QA90" s="223"/>
      <c r="QB90" s="225"/>
      <c r="QC90" s="220"/>
      <c r="QD90" s="221"/>
      <c r="QE90" s="222"/>
      <c r="QF90" s="222"/>
      <c r="QG90" s="223"/>
      <c r="QH90" s="223"/>
      <c r="QI90" s="224"/>
      <c r="QJ90" s="223"/>
      <c r="QK90" s="223"/>
      <c r="QL90" s="223"/>
      <c r="QM90" s="223"/>
      <c r="QN90" s="225"/>
      <c r="QO90" s="220"/>
      <c r="QP90" s="221"/>
      <c r="QQ90" s="222"/>
      <c r="QR90" s="222"/>
      <c r="QS90" s="223"/>
      <c r="QT90" s="223"/>
      <c r="QU90" s="224"/>
      <c r="QV90" s="223"/>
      <c r="QW90" s="223"/>
      <c r="QX90" s="223"/>
      <c r="QY90" s="223"/>
      <c r="QZ90" s="225"/>
      <c r="RA90" s="220"/>
      <c r="RB90" s="221"/>
      <c r="RC90" s="222"/>
      <c r="RD90" s="222"/>
      <c r="RE90" s="223"/>
      <c r="RF90" s="223"/>
      <c r="RG90" s="224"/>
      <c r="RH90" s="223"/>
      <c r="RI90" s="223"/>
      <c r="RJ90" s="223"/>
      <c r="RK90" s="223"/>
      <c r="RL90" s="225"/>
      <c r="RM90" s="220"/>
      <c r="RN90" s="221"/>
      <c r="RO90" s="222"/>
      <c r="RP90" s="222"/>
      <c r="RQ90" s="223"/>
      <c r="RR90" s="223"/>
      <c r="RS90" s="224"/>
      <c r="RT90" s="223"/>
      <c r="RU90" s="223"/>
      <c r="RV90" s="223"/>
      <c r="RW90" s="223"/>
      <c r="RX90" s="225"/>
      <c r="RY90" s="220"/>
      <c r="RZ90" s="221"/>
      <c r="SA90" s="222"/>
      <c r="SB90" s="222"/>
      <c r="SC90" s="223"/>
      <c r="SD90" s="223"/>
      <c r="SE90" s="224"/>
      <c r="SF90" s="223"/>
      <c r="SG90" s="223"/>
      <c r="SH90" s="223"/>
      <c r="SI90" s="223"/>
      <c r="SJ90" s="225"/>
      <c r="SK90" s="220"/>
      <c r="SL90" s="221"/>
      <c r="SM90" s="222"/>
      <c r="SN90" s="222"/>
      <c r="SO90" s="223"/>
      <c r="SP90" s="223"/>
      <c r="SQ90" s="224"/>
      <c r="SR90" s="223"/>
      <c r="SS90" s="223"/>
      <c r="ST90" s="223"/>
      <c r="SU90" s="223"/>
      <c r="SV90" s="225"/>
      <c r="SW90" s="220"/>
      <c r="SX90" s="221"/>
      <c r="SY90" s="222"/>
      <c r="SZ90" s="222"/>
      <c r="TA90" s="223"/>
      <c r="TB90" s="223"/>
      <c r="TC90" s="224"/>
      <c r="TD90" s="223"/>
      <c r="TE90" s="223"/>
      <c r="TF90" s="223"/>
      <c r="TG90" s="223"/>
      <c r="TH90" s="225"/>
      <c r="TI90" s="220"/>
      <c r="TJ90" s="221"/>
      <c r="TK90" s="222"/>
      <c r="TL90" s="222"/>
      <c r="TM90" s="223"/>
      <c r="TN90" s="223"/>
      <c r="TO90" s="224"/>
      <c r="TP90" s="223"/>
      <c r="TQ90" s="223"/>
      <c r="TR90" s="223"/>
      <c r="TS90" s="223"/>
      <c r="TT90" s="225"/>
      <c r="TU90" s="220"/>
      <c r="TV90" s="221"/>
      <c r="TW90" s="222"/>
      <c r="TX90" s="222"/>
      <c r="TY90" s="223"/>
      <c r="TZ90" s="223"/>
      <c r="UA90" s="224"/>
      <c r="UB90" s="223"/>
      <c r="UC90" s="223"/>
      <c r="UD90" s="223"/>
      <c r="UE90" s="223"/>
      <c r="UF90" s="225"/>
      <c r="UG90" s="220"/>
      <c r="UH90" s="221"/>
      <c r="UI90" s="222"/>
      <c r="UJ90" s="222"/>
      <c r="UK90" s="223"/>
      <c r="UL90" s="223"/>
      <c r="UM90" s="224"/>
      <c r="UN90" s="223"/>
      <c r="UO90" s="223"/>
      <c r="UP90" s="223"/>
      <c r="UQ90" s="223"/>
      <c r="UR90" s="225"/>
      <c r="US90" s="220"/>
      <c r="UT90" s="221"/>
      <c r="UU90" s="222"/>
      <c r="UV90" s="222"/>
      <c r="UW90" s="223"/>
      <c r="UX90" s="223"/>
      <c r="UY90" s="224"/>
      <c r="UZ90" s="223"/>
      <c r="VA90" s="223"/>
      <c r="VB90" s="223"/>
      <c r="VC90" s="223"/>
      <c r="VD90" s="225"/>
      <c r="VE90" s="220"/>
      <c r="VF90" s="221"/>
      <c r="VG90" s="222"/>
      <c r="VH90" s="222"/>
      <c r="VI90" s="223"/>
      <c r="VJ90" s="223"/>
      <c r="VK90" s="224"/>
      <c r="VL90" s="223"/>
      <c r="VM90" s="223"/>
      <c r="VN90" s="223"/>
      <c r="VO90" s="223"/>
      <c r="VP90" s="225"/>
      <c r="VQ90" s="220"/>
      <c r="VR90" s="221"/>
      <c r="VS90" s="222"/>
      <c r="VT90" s="222"/>
      <c r="VU90" s="223"/>
      <c r="VV90" s="223"/>
      <c r="VW90" s="224"/>
      <c r="VX90" s="223"/>
      <c r="VY90" s="223"/>
      <c r="VZ90" s="223"/>
      <c r="WA90" s="223"/>
      <c r="WB90" s="225"/>
      <c r="WC90" s="220"/>
      <c r="WD90" s="221"/>
      <c r="WE90" s="222"/>
      <c r="WF90" s="222"/>
      <c r="WG90" s="223"/>
      <c r="WH90" s="223"/>
      <c r="WI90" s="224"/>
      <c r="WJ90" s="223"/>
      <c r="WK90" s="223"/>
      <c r="WL90" s="223"/>
      <c r="WM90" s="223"/>
      <c r="WN90" s="225"/>
      <c r="WO90" s="220"/>
      <c r="WP90" s="221"/>
      <c r="WQ90" s="222"/>
      <c r="WR90" s="222"/>
      <c r="WS90" s="223"/>
      <c r="WT90" s="223"/>
      <c r="WU90" s="224"/>
      <c r="WV90" s="223"/>
      <c r="WW90" s="223"/>
      <c r="WX90" s="223"/>
      <c r="WY90" s="223"/>
      <c r="WZ90" s="225"/>
      <c r="XA90" s="220"/>
      <c r="XB90" s="221"/>
      <c r="XC90" s="222"/>
      <c r="XD90" s="222"/>
      <c r="XE90" s="223"/>
      <c r="XF90" s="223"/>
      <c r="XG90" s="224"/>
      <c r="XH90" s="223"/>
      <c r="XI90" s="223"/>
      <c r="XJ90" s="223"/>
      <c r="XK90" s="223"/>
      <c r="XL90" s="225"/>
      <c r="XM90" s="220"/>
      <c r="XN90" s="221"/>
      <c r="XO90" s="222"/>
      <c r="XP90" s="222"/>
      <c r="XQ90" s="223"/>
      <c r="XR90" s="223"/>
      <c r="XS90" s="224"/>
      <c r="XT90" s="223"/>
      <c r="XU90" s="223"/>
      <c r="XV90" s="223"/>
      <c r="XW90" s="223"/>
      <c r="XX90" s="225"/>
      <c r="XY90" s="220"/>
      <c r="XZ90" s="221"/>
      <c r="YA90" s="222"/>
      <c r="YB90" s="222"/>
      <c r="YC90" s="223"/>
      <c r="YD90" s="223"/>
      <c r="YE90" s="224"/>
      <c r="YF90" s="223"/>
      <c r="YG90" s="223"/>
      <c r="YH90" s="223"/>
      <c r="YI90" s="223"/>
      <c r="YJ90" s="225"/>
      <c r="YK90" s="220"/>
      <c r="YL90" s="221"/>
      <c r="YM90" s="222"/>
      <c r="YN90" s="222"/>
      <c r="YO90" s="223"/>
      <c r="YP90" s="223"/>
      <c r="YQ90" s="224"/>
      <c r="YR90" s="223"/>
      <c r="YS90" s="223"/>
      <c r="YT90" s="223"/>
      <c r="YU90" s="223"/>
      <c r="YV90" s="225"/>
      <c r="YW90" s="220"/>
      <c r="YX90" s="221"/>
      <c r="YY90" s="222"/>
      <c r="YZ90" s="222"/>
      <c r="ZA90" s="223"/>
      <c r="ZB90" s="223"/>
      <c r="ZC90" s="224"/>
      <c r="ZD90" s="223"/>
      <c r="ZE90" s="223"/>
      <c r="ZF90" s="223"/>
      <c r="ZG90" s="223"/>
      <c r="ZH90" s="225"/>
      <c r="ZI90" s="220"/>
      <c r="ZJ90" s="221"/>
      <c r="ZK90" s="222"/>
      <c r="ZL90" s="222"/>
      <c r="ZM90" s="223"/>
      <c r="ZN90" s="223"/>
      <c r="ZO90" s="224"/>
      <c r="ZP90" s="223"/>
      <c r="ZQ90" s="223"/>
      <c r="ZR90" s="223"/>
      <c r="ZS90" s="223"/>
      <c r="ZT90" s="225"/>
      <c r="ZU90" s="220"/>
      <c r="ZV90" s="221"/>
      <c r="ZW90" s="222"/>
      <c r="ZX90" s="222"/>
      <c r="ZY90" s="223"/>
      <c r="ZZ90" s="223"/>
      <c r="AAA90" s="224"/>
      <c r="AAB90" s="223"/>
      <c r="AAC90" s="223"/>
      <c r="AAD90" s="223"/>
      <c r="AAE90" s="223"/>
      <c r="AAF90" s="225"/>
      <c r="AAG90" s="220"/>
      <c r="AAH90" s="221"/>
      <c r="AAI90" s="222"/>
      <c r="AAJ90" s="222"/>
      <c r="AAK90" s="223"/>
      <c r="AAL90" s="223"/>
      <c r="AAM90" s="224"/>
      <c r="AAN90" s="223"/>
      <c r="AAO90" s="223"/>
      <c r="AAP90" s="223"/>
      <c r="AAQ90" s="223"/>
      <c r="AAR90" s="225"/>
      <c r="AAS90" s="220"/>
      <c r="AAT90" s="221"/>
      <c r="AAU90" s="222"/>
      <c r="AAV90" s="222"/>
      <c r="AAW90" s="223"/>
      <c r="AAX90" s="223"/>
      <c r="AAY90" s="224"/>
      <c r="AAZ90" s="223"/>
      <c r="ABA90" s="223"/>
      <c r="ABB90" s="223"/>
      <c r="ABC90" s="223"/>
      <c r="ABD90" s="225"/>
      <c r="ABE90" s="220"/>
      <c r="ABF90" s="221"/>
      <c r="ABG90" s="222"/>
      <c r="ABH90" s="222"/>
      <c r="ABI90" s="223"/>
      <c r="ABJ90" s="223"/>
      <c r="ABK90" s="224"/>
      <c r="ABL90" s="223"/>
      <c r="ABM90" s="223"/>
      <c r="ABN90" s="223"/>
      <c r="ABO90" s="223"/>
      <c r="ABP90" s="225"/>
      <c r="ABQ90" s="220"/>
      <c r="ABR90" s="221"/>
      <c r="ABS90" s="222"/>
      <c r="ABT90" s="222"/>
      <c r="ABU90" s="223"/>
      <c r="ABV90" s="223"/>
      <c r="ABW90" s="224"/>
      <c r="ABX90" s="223"/>
      <c r="ABY90" s="223"/>
      <c r="ABZ90" s="223"/>
      <c r="ACA90" s="223"/>
      <c r="ACB90" s="225"/>
      <c r="ACC90" s="220"/>
      <c r="ACD90" s="221"/>
      <c r="ACE90" s="222"/>
      <c r="ACF90" s="222"/>
      <c r="ACG90" s="223"/>
      <c r="ACH90" s="223"/>
      <c r="ACI90" s="224"/>
      <c r="ACJ90" s="223"/>
      <c r="ACK90" s="223"/>
      <c r="ACL90" s="223"/>
      <c r="ACM90" s="223"/>
      <c r="ACN90" s="225"/>
      <c r="ACO90" s="220"/>
      <c r="ACP90" s="221"/>
      <c r="ACQ90" s="222"/>
      <c r="ACR90" s="222"/>
      <c r="ACS90" s="223"/>
      <c r="ACT90" s="223"/>
      <c r="ACU90" s="224"/>
      <c r="ACV90" s="223"/>
      <c r="ACW90" s="223"/>
      <c r="ACX90" s="223"/>
      <c r="ACY90" s="223"/>
      <c r="ACZ90" s="225"/>
      <c r="ADA90" s="220"/>
      <c r="ADB90" s="221"/>
      <c r="ADC90" s="222"/>
      <c r="ADD90" s="222"/>
      <c r="ADE90" s="223"/>
      <c r="ADF90" s="223"/>
      <c r="ADG90" s="224"/>
      <c r="ADH90" s="223"/>
      <c r="ADI90" s="223"/>
      <c r="ADJ90" s="223"/>
      <c r="ADK90" s="223"/>
      <c r="ADL90" s="225"/>
      <c r="ADM90" s="220"/>
      <c r="ADN90" s="221"/>
      <c r="ADO90" s="222"/>
      <c r="ADP90" s="222"/>
      <c r="ADQ90" s="223"/>
      <c r="ADR90" s="223"/>
      <c r="ADS90" s="224"/>
      <c r="ADT90" s="223"/>
      <c r="ADU90" s="223"/>
      <c r="ADV90" s="223"/>
      <c r="ADW90" s="223"/>
      <c r="ADX90" s="225"/>
      <c r="ADY90" s="220"/>
      <c r="ADZ90" s="221"/>
      <c r="AEA90" s="222"/>
      <c r="AEB90" s="222"/>
      <c r="AEC90" s="223"/>
      <c r="AED90" s="223"/>
      <c r="AEE90" s="224"/>
      <c r="AEF90" s="223"/>
      <c r="AEG90" s="223"/>
      <c r="AEH90" s="223"/>
      <c r="AEI90" s="223"/>
      <c r="AEJ90" s="225"/>
      <c r="AEK90" s="220"/>
      <c r="AEL90" s="221"/>
      <c r="AEM90" s="222"/>
      <c r="AEN90" s="222"/>
      <c r="AEO90" s="223"/>
      <c r="AEP90" s="223"/>
      <c r="AEQ90" s="224"/>
      <c r="AER90" s="223"/>
      <c r="AES90" s="223"/>
      <c r="AET90" s="223"/>
      <c r="AEU90" s="223"/>
      <c r="AEV90" s="225"/>
      <c r="AEW90" s="220"/>
      <c r="AEX90" s="221"/>
      <c r="AEY90" s="222"/>
      <c r="AEZ90" s="222"/>
      <c r="AFA90" s="223"/>
      <c r="AFB90" s="223"/>
      <c r="AFC90" s="224"/>
      <c r="AFD90" s="223"/>
      <c r="AFE90" s="223"/>
      <c r="AFF90" s="223"/>
      <c r="AFG90" s="223"/>
      <c r="AFH90" s="225"/>
      <c r="AFI90" s="220"/>
      <c r="AFJ90" s="221"/>
      <c r="AFK90" s="222"/>
      <c r="AFL90" s="222"/>
      <c r="AFM90" s="223"/>
      <c r="AFN90" s="223"/>
      <c r="AFO90" s="224"/>
      <c r="AFP90" s="223"/>
      <c r="AFQ90" s="223"/>
      <c r="AFR90" s="223"/>
      <c r="AFS90" s="223"/>
      <c r="AFT90" s="225"/>
      <c r="AFU90" s="220"/>
      <c r="AFV90" s="221"/>
      <c r="AFW90" s="222"/>
      <c r="AFX90" s="222"/>
      <c r="AFY90" s="223"/>
      <c r="AFZ90" s="223"/>
      <c r="AGA90" s="224"/>
      <c r="AGB90" s="223"/>
      <c r="AGC90" s="223"/>
      <c r="AGD90" s="223"/>
      <c r="AGE90" s="223"/>
      <c r="AGF90" s="225"/>
      <c r="AGG90" s="220"/>
      <c r="AGH90" s="221"/>
      <c r="AGI90" s="222"/>
      <c r="AGJ90" s="222"/>
      <c r="AGK90" s="223"/>
      <c r="AGL90" s="223"/>
      <c r="AGM90" s="224"/>
      <c r="AGN90" s="223"/>
      <c r="AGO90" s="223"/>
      <c r="AGP90" s="223"/>
      <c r="AGQ90" s="223"/>
      <c r="AGR90" s="225"/>
      <c r="AGS90" s="220"/>
      <c r="AGT90" s="221"/>
      <c r="AGU90" s="222"/>
      <c r="AGV90" s="222"/>
      <c r="AGW90" s="223"/>
      <c r="AGX90" s="223"/>
      <c r="AGY90" s="224"/>
      <c r="AGZ90" s="223"/>
      <c r="AHA90" s="223"/>
      <c r="AHB90" s="223"/>
      <c r="AHC90" s="223"/>
      <c r="AHD90" s="225"/>
      <c r="AHE90" s="220"/>
      <c r="AHF90" s="221"/>
      <c r="AHG90" s="222"/>
      <c r="AHH90" s="222"/>
      <c r="AHI90" s="223"/>
      <c r="AHJ90" s="223"/>
      <c r="AHK90" s="224"/>
      <c r="AHL90" s="223"/>
      <c r="AHM90" s="223"/>
      <c r="AHN90" s="223"/>
      <c r="AHO90" s="223"/>
      <c r="AHP90" s="225"/>
      <c r="AHQ90" s="220"/>
      <c r="AHR90" s="221"/>
      <c r="AHS90" s="222"/>
      <c r="AHT90" s="222"/>
      <c r="AHU90" s="223"/>
      <c r="AHV90" s="223"/>
      <c r="AHW90" s="224"/>
      <c r="AHX90" s="223"/>
      <c r="AHY90" s="223"/>
      <c r="AHZ90" s="223"/>
      <c r="AIA90" s="223"/>
      <c r="AIB90" s="225"/>
      <c r="AIC90" s="220"/>
      <c r="AID90" s="221"/>
      <c r="AIE90" s="222"/>
      <c r="AIF90" s="222"/>
      <c r="AIG90" s="223"/>
      <c r="AIH90" s="223"/>
      <c r="AII90" s="224"/>
      <c r="AIJ90" s="223"/>
      <c r="AIK90" s="223"/>
      <c r="AIL90" s="223"/>
      <c r="AIM90" s="223"/>
      <c r="AIN90" s="225"/>
      <c r="AIO90" s="220"/>
      <c r="AIP90" s="221"/>
      <c r="AIQ90" s="222"/>
      <c r="AIR90" s="222"/>
      <c r="AIS90" s="223"/>
      <c r="AIT90" s="223"/>
      <c r="AIU90" s="224"/>
      <c r="AIV90" s="223"/>
      <c r="AIW90" s="223"/>
      <c r="AIX90" s="223"/>
      <c r="AIY90" s="223"/>
      <c r="AIZ90" s="225"/>
      <c r="AJA90" s="220"/>
      <c r="AJB90" s="221"/>
      <c r="AJC90" s="222"/>
      <c r="AJD90" s="222"/>
      <c r="AJE90" s="223"/>
      <c r="AJF90" s="223"/>
      <c r="AJG90" s="224"/>
      <c r="AJH90" s="223"/>
      <c r="AJI90" s="223"/>
      <c r="AJJ90" s="223"/>
      <c r="AJK90" s="223"/>
      <c r="AJL90" s="225"/>
      <c r="AJM90" s="220"/>
      <c r="AJN90" s="221"/>
      <c r="AJO90" s="222"/>
      <c r="AJP90" s="222"/>
      <c r="AJQ90" s="223"/>
      <c r="AJR90" s="223"/>
      <c r="AJS90" s="224"/>
      <c r="AJT90" s="223"/>
      <c r="AJU90" s="223"/>
      <c r="AJV90" s="223"/>
      <c r="AJW90" s="223"/>
      <c r="AJX90" s="225"/>
      <c r="AJY90" s="220"/>
      <c r="AJZ90" s="221"/>
      <c r="AKA90" s="222"/>
      <c r="AKB90" s="222"/>
      <c r="AKC90" s="223"/>
      <c r="AKD90" s="223"/>
      <c r="AKE90" s="224"/>
      <c r="AKF90" s="223"/>
      <c r="AKG90" s="223"/>
      <c r="AKH90" s="223"/>
      <c r="AKI90" s="223"/>
      <c r="AKJ90" s="225"/>
      <c r="AKK90" s="220"/>
      <c r="AKL90" s="221"/>
      <c r="AKM90" s="222"/>
      <c r="AKN90" s="222"/>
      <c r="AKO90" s="223"/>
      <c r="AKP90" s="223"/>
      <c r="AKQ90" s="224"/>
      <c r="AKR90" s="223"/>
      <c r="AKS90" s="223"/>
      <c r="AKT90" s="223"/>
      <c r="AKU90" s="223"/>
      <c r="AKV90" s="225"/>
      <c r="AKW90" s="220"/>
      <c r="AKX90" s="221"/>
      <c r="AKY90" s="222"/>
      <c r="AKZ90" s="222"/>
      <c r="ALA90" s="223"/>
      <c r="ALB90" s="223"/>
      <c r="ALC90" s="224"/>
      <c r="ALD90" s="223"/>
      <c r="ALE90" s="223"/>
      <c r="ALF90" s="223"/>
      <c r="ALG90" s="223"/>
      <c r="ALH90" s="225"/>
      <c r="ALI90" s="220"/>
      <c r="ALJ90" s="221"/>
      <c r="ALK90" s="222"/>
      <c r="ALL90" s="222"/>
      <c r="ALM90" s="223"/>
      <c r="ALN90" s="223"/>
      <c r="ALO90" s="224"/>
      <c r="ALP90" s="223"/>
      <c r="ALQ90" s="223"/>
      <c r="ALR90" s="223"/>
      <c r="ALS90" s="223"/>
      <c r="ALT90" s="225"/>
      <c r="ALU90" s="220"/>
      <c r="ALV90" s="221"/>
      <c r="ALW90" s="222"/>
      <c r="ALX90" s="222"/>
      <c r="ALY90" s="223"/>
      <c r="ALZ90" s="223"/>
      <c r="AMA90" s="224"/>
      <c r="AMB90" s="223"/>
      <c r="AMC90" s="223"/>
      <c r="AMD90" s="223"/>
      <c r="AME90" s="223"/>
      <c r="AMF90" s="225"/>
      <c r="AMG90" s="220"/>
      <c r="AMH90" s="221"/>
      <c r="AMI90" s="222"/>
      <c r="AMJ90" s="222"/>
      <c r="AMK90" s="223"/>
      <c r="AML90" s="223"/>
      <c r="AMM90" s="224"/>
      <c r="AMN90" s="223"/>
      <c r="AMO90" s="223"/>
      <c r="AMP90" s="223"/>
      <c r="AMQ90" s="223"/>
      <c r="AMR90" s="225"/>
      <c r="AMS90" s="220"/>
      <c r="AMT90" s="221"/>
      <c r="AMU90" s="222"/>
      <c r="AMV90" s="222"/>
      <c r="AMW90" s="223"/>
      <c r="AMX90" s="223"/>
      <c r="AMY90" s="224"/>
      <c r="AMZ90" s="223"/>
      <c r="ANA90" s="223"/>
      <c r="ANB90" s="223"/>
      <c r="ANC90" s="223"/>
      <c r="AND90" s="225"/>
      <c r="ANE90" s="220"/>
      <c r="ANF90" s="221"/>
      <c r="ANG90" s="222"/>
      <c r="ANH90" s="222"/>
      <c r="ANI90" s="223"/>
      <c r="ANJ90" s="223"/>
      <c r="ANK90" s="224"/>
      <c r="ANL90" s="223"/>
      <c r="ANM90" s="223"/>
      <c r="ANN90" s="223"/>
      <c r="ANO90" s="223"/>
      <c r="ANP90" s="225"/>
      <c r="ANQ90" s="220"/>
      <c r="ANR90" s="221"/>
      <c r="ANS90" s="222"/>
      <c r="ANT90" s="222"/>
      <c r="ANU90" s="223"/>
      <c r="ANV90" s="223"/>
      <c r="ANW90" s="224"/>
      <c r="ANX90" s="223"/>
      <c r="ANY90" s="223"/>
      <c r="ANZ90" s="223"/>
      <c r="AOA90" s="223"/>
      <c r="AOB90" s="225"/>
      <c r="AOC90" s="220"/>
      <c r="AOD90" s="221"/>
      <c r="AOE90" s="222"/>
      <c r="AOF90" s="222"/>
      <c r="AOG90" s="223"/>
      <c r="AOH90" s="223"/>
      <c r="AOI90" s="224"/>
      <c r="AOJ90" s="223"/>
      <c r="AOK90" s="223"/>
      <c r="AOL90" s="223"/>
      <c r="AOM90" s="223"/>
      <c r="AON90" s="225"/>
      <c r="AOO90" s="220"/>
      <c r="AOP90" s="221"/>
      <c r="AOQ90" s="222"/>
      <c r="AOR90" s="222"/>
      <c r="AOS90" s="223"/>
      <c r="AOT90" s="223"/>
      <c r="AOU90" s="224"/>
      <c r="AOV90" s="223"/>
      <c r="AOW90" s="223"/>
      <c r="AOX90" s="223"/>
      <c r="AOY90" s="223"/>
      <c r="AOZ90" s="225"/>
      <c r="APA90" s="220"/>
      <c r="APB90" s="221"/>
      <c r="APC90" s="222"/>
      <c r="APD90" s="222"/>
      <c r="APE90" s="223"/>
      <c r="APF90" s="223"/>
      <c r="APG90" s="224"/>
      <c r="APH90" s="223"/>
      <c r="API90" s="223"/>
      <c r="APJ90" s="223"/>
      <c r="APK90" s="223"/>
      <c r="APL90" s="225"/>
      <c r="APM90" s="220"/>
      <c r="APN90" s="221"/>
      <c r="APO90" s="222"/>
      <c r="APP90" s="222"/>
      <c r="APQ90" s="223"/>
      <c r="APR90" s="223"/>
      <c r="APS90" s="224"/>
      <c r="APT90" s="223"/>
      <c r="APU90" s="223"/>
      <c r="APV90" s="223"/>
      <c r="APW90" s="223"/>
      <c r="APX90" s="225"/>
      <c r="APY90" s="220"/>
      <c r="APZ90" s="221"/>
      <c r="AQA90" s="222"/>
      <c r="AQB90" s="222"/>
      <c r="AQC90" s="223"/>
      <c r="AQD90" s="223"/>
      <c r="AQE90" s="224"/>
      <c r="AQF90" s="223"/>
      <c r="AQG90" s="223"/>
      <c r="AQH90" s="223"/>
      <c r="AQI90" s="223"/>
      <c r="AQJ90" s="225"/>
      <c r="AQK90" s="220"/>
      <c r="AQL90" s="221"/>
      <c r="AQM90" s="222"/>
      <c r="AQN90" s="222"/>
      <c r="AQO90" s="223"/>
      <c r="AQP90" s="223"/>
      <c r="AQQ90" s="224"/>
      <c r="AQR90" s="223"/>
      <c r="AQS90" s="223"/>
      <c r="AQT90" s="223"/>
      <c r="AQU90" s="223"/>
      <c r="AQV90" s="225"/>
      <c r="AQW90" s="220"/>
      <c r="AQX90" s="221"/>
      <c r="AQY90" s="222"/>
      <c r="AQZ90" s="222"/>
      <c r="ARA90" s="223"/>
      <c r="ARB90" s="223"/>
      <c r="ARC90" s="224"/>
      <c r="ARD90" s="223"/>
      <c r="ARE90" s="223"/>
      <c r="ARF90" s="223"/>
      <c r="ARG90" s="223"/>
      <c r="ARH90" s="225"/>
      <c r="ARI90" s="220"/>
      <c r="ARJ90" s="221"/>
      <c r="ARK90" s="222"/>
      <c r="ARL90" s="222"/>
      <c r="ARM90" s="223"/>
      <c r="ARN90" s="223"/>
      <c r="ARO90" s="224"/>
      <c r="ARP90" s="223"/>
      <c r="ARQ90" s="223"/>
      <c r="ARR90" s="223"/>
      <c r="ARS90" s="223"/>
      <c r="ART90" s="225"/>
      <c r="ARU90" s="220"/>
      <c r="ARV90" s="221"/>
      <c r="ARW90" s="222"/>
      <c r="ARX90" s="222"/>
      <c r="ARY90" s="223"/>
      <c r="ARZ90" s="223"/>
      <c r="ASA90" s="224"/>
      <c r="ASB90" s="223"/>
      <c r="ASC90" s="223"/>
      <c r="ASD90" s="223"/>
      <c r="ASE90" s="223"/>
      <c r="ASF90" s="225"/>
      <c r="ASG90" s="220"/>
      <c r="ASH90" s="221"/>
      <c r="ASI90" s="222"/>
      <c r="ASJ90" s="222"/>
      <c r="ASK90" s="223"/>
      <c r="ASL90" s="223"/>
      <c r="ASM90" s="224"/>
      <c r="ASN90" s="223"/>
      <c r="ASO90" s="223"/>
      <c r="ASP90" s="223"/>
      <c r="ASQ90" s="223"/>
      <c r="ASR90" s="225"/>
      <c r="ASS90" s="220"/>
      <c r="AST90" s="221"/>
      <c r="ASU90" s="222"/>
      <c r="ASV90" s="222"/>
      <c r="ASW90" s="223"/>
      <c r="ASX90" s="223"/>
      <c r="ASY90" s="224"/>
      <c r="ASZ90" s="223"/>
      <c r="ATA90" s="223"/>
      <c r="ATB90" s="223"/>
      <c r="ATC90" s="223"/>
      <c r="ATD90" s="225"/>
      <c r="ATE90" s="220"/>
      <c r="ATF90" s="221"/>
      <c r="ATG90" s="222"/>
      <c r="ATH90" s="222"/>
      <c r="ATI90" s="223"/>
      <c r="ATJ90" s="223"/>
      <c r="ATK90" s="224"/>
      <c r="ATL90" s="223"/>
      <c r="ATM90" s="223"/>
      <c r="ATN90" s="223"/>
      <c r="ATO90" s="223"/>
      <c r="ATP90" s="225"/>
      <c r="ATQ90" s="220"/>
      <c r="ATR90" s="221"/>
      <c r="ATS90" s="222"/>
      <c r="ATT90" s="222"/>
      <c r="ATU90" s="223"/>
      <c r="ATV90" s="223"/>
      <c r="ATW90" s="224"/>
      <c r="ATX90" s="223"/>
      <c r="ATY90" s="223"/>
      <c r="ATZ90" s="223"/>
      <c r="AUA90" s="223"/>
      <c r="AUB90" s="225"/>
      <c r="AUC90" s="220"/>
      <c r="AUD90" s="221"/>
      <c r="AUE90" s="222"/>
      <c r="AUF90" s="222"/>
      <c r="AUG90" s="223"/>
      <c r="AUH90" s="223"/>
      <c r="AUI90" s="224"/>
      <c r="AUJ90" s="223"/>
      <c r="AUK90" s="223"/>
      <c r="AUL90" s="223"/>
      <c r="AUM90" s="223"/>
      <c r="AUN90" s="225"/>
      <c r="AUO90" s="220"/>
      <c r="AUP90" s="221"/>
      <c r="AUQ90" s="222"/>
      <c r="AUR90" s="222"/>
      <c r="AUS90" s="223"/>
      <c r="AUT90" s="223"/>
      <c r="AUU90" s="224"/>
      <c r="AUV90" s="223"/>
      <c r="AUW90" s="223"/>
      <c r="AUX90" s="223"/>
      <c r="AUY90" s="223"/>
      <c r="AUZ90" s="225"/>
      <c r="AVA90" s="220"/>
      <c r="AVB90" s="221"/>
      <c r="AVC90" s="222"/>
      <c r="AVD90" s="222"/>
      <c r="AVE90" s="223"/>
      <c r="AVF90" s="223"/>
      <c r="AVG90" s="224"/>
      <c r="AVH90" s="223"/>
      <c r="AVI90" s="223"/>
      <c r="AVJ90" s="223"/>
      <c r="AVK90" s="223"/>
      <c r="AVL90" s="225"/>
      <c r="AVM90" s="220"/>
      <c r="AVN90" s="221"/>
      <c r="AVO90" s="222"/>
      <c r="AVP90" s="222"/>
      <c r="AVQ90" s="223"/>
      <c r="AVR90" s="223"/>
      <c r="AVS90" s="224"/>
      <c r="AVT90" s="223"/>
      <c r="AVU90" s="223"/>
      <c r="AVV90" s="223"/>
      <c r="AVW90" s="223"/>
      <c r="AVX90" s="225"/>
      <c r="AVY90" s="220"/>
      <c r="AVZ90" s="221"/>
      <c r="AWA90" s="222"/>
      <c r="AWB90" s="222"/>
      <c r="AWC90" s="223"/>
      <c r="AWD90" s="223"/>
      <c r="AWE90" s="224"/>
      <c r="AWF90" s="223"/>
      <c r="AWG90" s="223"/>
      <c r="AWH90" s="223"/>
      <c r="AWI90" s="223"/>
      <c r="AWJ90" s="225"/>
      <c r="AWK90" s="220"/>
      <c r="AWL90" s="221"/>
      <c r="AWM90" s="222"/>
      <c r="AWN90" s="222"/>
      <c r="AWO90" s="223"/>
      <c r="AWP90" s="223"/>
      <c r="AWQ90" s="224"/>
      <c r="AWR90" s="223"/>
      <c r="AWS90" s="223"/>
      <c r="AWT90" s="223"/>
      <c r="AWU90" s="223"/>
      <c r="AWV90" s="225"/>
      <c r="AWW90" s="220"/>
      <c r="AWX90" s="221"/>
      <c r="AWY90" s="222"/>
      <c r="AWZ90" s="222"/>
      <c r="AXA90" s="223"/>
      <c r="AXB90" s="223"/>
      <c r="AXC90" s="224"/>
      <c r="AXD90" s="223"/>
      <c r="AXE90" s="223"/>
      <c r="AXF90" s="223"/>
      <c r="AXG90" s="223"/>
      <c r="AXH90" s="225"/>
      <c r="AXI90" s="220"/>
      <c r="AXJ90" s="221"/>
      <c r="AXK90" s="222"/>
      <c r="AXL90" s="222"/>
      <c r="AXM90" s="223"/>
      <c r="AXN90" s="223"/>
      <c r="AXO90" s="224"/>
      <c r="AXP90" s="223"/>
      <c r="AXQ90" s="223"/>
      <c r="AXR90" s="223"/>
      <c r="AXS90" s="223"/>
      <c r="AXT90" s="225"/>
      <c r="AXU90" s="220"/>
      <c r="AXV90" s="221"/>
      <c r="AXW90" s="222"/>
      <c r="AXX90" s="222"/>
      <c r="AXY90" s="223"/>
      <c r="AXZ90" s="223"/>
      <c r="AYA90" s="224"/>
      <c r="AYB90" s="223"/>
      <c r="AYC90" s="223"/>
      <c r="AYD90" s="223"/>
      <c r="AYE90" s="223"/>
      <c r="AYF90" s="225"/>
      <c r="AYG90" s="220"/>
      <c r="AYH90" s="221"/>
      <c r="AYI90" s="222"/>
      <c r="AYJ90" s="222"/>
      <c r="AYK90" s="223"/>
      <c r="AYL90" s="223"/>
      <c r="AYM90" s="224"/>
      <c r="AYN90" s="223"/>
      <c r="AYO90" s="223"/>
      <c r="AYP90" s="223"/>
      <c r="AYQ90" s="223"/>
      <c r="AYR90" s="225"/>
      <c r="AYS90" s="220"/>
      <c r="AYT90" s="221"/>
      <c r="AYU90" s="222"/>
      <c r="AYV90" s="222"/>
      <c r="AYW90" s="223"/>
      <c r="AYX90" s="223"/>
      <c r="AYY90" s="224"/>
      <c r="AYZ90" s="223"/>
      <c r="AZA90" s="223"/>
      <c r="AZB90" s="223"/>
      <c r="AZC90" s="223"/>
      <c r="AZD90" s="225"/>
      <c r="AZE90" s="220"/>
      <c r="AZF90" s="221"/>
      <c r="AZG90" s="222"/>
      <c r="AZH90" s="222"/>
      <c r="AZI90" s="223"/>
      <c r="AZJ90" s="223"/>
      <c r="AZK90" s="224"/>
      <c r="AZL90" s="223"/>
      <c r="AZM90" s="223"/>
      <c r="AZN90" s="223"/>
      <c r="AZO90" s="223"/>
      <c r="AZP90" s="225"/>
      <c r="AZQ90" s="220"/>
      <c r="AZR90" s="221"/>
      <c r="AZS90" s="222"/>
      <c r="AZT90" s="222"/>
      <c r="AZU90" s="223"/>
      <c r="AZV90" s="223"/>
      <c r="AZW90" s="224"/>
      <c r="AZX90" s="223"/>
      <c r="AZY90" s="223"/>
      <c r="AZZ90" s="223"/>
      <c r="BAA90" s="223"/>
      <c r="BAB90" s="225"/>
      <c r="BAC90" s="220"/>
      <c r="BAD90" s="221"/>
      <c r="BAE90" s="222"/>
      <c r="BAF90" s="222"/>
      <c r="BAG90" s="223"/>
      <c r="BAH90" s="223"/>
      <c r="BAI90" s="224"/>
      <c r="BAJ90" s="223"/>
      <c r="BAK90" s="223"/>
      <c r="BAL90" s="223"/>
      <c r="BAM90" s="223"/>
      <c r="BAN90" s="225"/>
      <c r="BAO90" s="220"/>
      <c r="BAP90" s="221"/>
      <c r="BAQ90" s="222"/>
      <c r="BAR90" s="222"/>
      <c r="BAS90" s="223"/>
      <c r="BAT90" s="223"/>
      <c r="BAU90" s="224"/>
      <c r="BAV90" s="223"/>
      <c r="BAW90" s="223"/>
      <c r="BAX90" s="223"/>
      <c r="BAY90" s="223"/>
      <c r="BAZ90" s="225"/>
      <c r="BBA90" s="220"/>
      <c r="BBB90" s="221"/>
      <c r="BBC90" s="222"/>
      <c r="BBD90" s="222"/>
      <c r="BBE90" s="223"/>
      <c r="BBF90" s="223"/>
      <c r="BBG90" s="224"/>
      <c r="BBH90" s="223"/>
      <c r="BBI90" s="223"/>
      <c r="BBJ90" s="223"/>
      <c r="BBK90" s="223"/>
      <c r="BBL90" s="225"/>
      <c r="BBM90" s="220"/>
      <c r="BBN90" s="221"/>
      <c r="BBO90" s="222"/>
      <c r="BBP90" s="222"/>
      <c r="BBQ90" s="223"/>
      <c r="BBR90" s="223"/>
      <c r="BBS90" s="224"/>
      <c r="BBT90" s="223"/>
      <c r="BBU90" s="223"/>
      <c r="BBV90" s="223"/>
      <c r="BBW90" s="223"/>
      <c r="BBX90" s="225"/>
      <c r="BBY90" s="220"/>
      <c r="BBZ90" s="221"/>
      <c r="BCA90" s="222"/>
      <c r="BCB90" s="222"/>
      <c r="BCC90" s="223"/>
      <c r="BCD90" s="223"/>
      <c r="BCE90" s="224"/>
      <c r="BCF90" s="223"/>
      <c r="BCG90" s="223"/>
      <c r="BCH90" s="223"/>
      <c r="BCI90" s="223"/>
      <c r="BCJ90" s="225"/>
      <c r="BCK90" s="220"/>
      <c r="BCL90" s="221"/>
      <c r="BCM90" s="222"/>
      <c r="BCN90" s="222"/>
      <c r="BCO90" s="223"/>
      <c r="BCP90" s="223"/>
      <c r="BCQ90" s="224"/>
      <c r="BCR90" s="223"/>
      <c r="BCS90" s="223"/>
      <c r="BCT90" s="223"/>
      <c r="BCU90" s="223"/>
      <c r="BCV90" s="225"/>
      <c r="BCW90" s="220"/>
      <c r="BCX90" s="221"/>
      <c r="BCY90" s="222"/>
      <c r="BCZ90" s="222"/>
      <c r="BDA90" s="223"/>
      <c r="BDB90" s="223"/>
      <c r="BDC90" s="224"/>
      <c r="BDD90" s="223"/>
      <c r="BDE90" s="223"/>
      <c r="BDF90" s="223"/>
      <c r="BDG90" s="223"/>
      <c r="BDH90" s="225"/>
      <c r="BDI90" s="220"/>
      <c r="BDJ90" s="221"/>
      <c r="BDK90" s="222"/>
      <c r="BDL90" s="222"/>
      <c r="BDM90" s="223"/>
      <c r="BDN90" s="223"/>
      <c r="BDO90" s="224"/>
      <c r="BDP90" s="223"/>
      <c r="BDQ90" s="223"/>
      <c r="BDR90" s="223"/>
      <c r="BDS90" s="223"/>
      <c r="BDT90" s="225"/>
      <c r="BDU90" s="220"/>
      <c r="BDV90" s="221"/>
      <c r="BDW90" s="222"/>
      <c r="BDX90" s="222"/>
      <c r="BDY90" s="223"/>
      <c r="BDZ90" s="223"/>
      <c r="BEA90" s="224"/>
      <c r="BEB90" s="223"/>
      <c r="BEC90" s="223"/>
      <c r="BED90" s="223"/>
      <c r="BEE90" s="223"/>
      <c r="BEF90" s="225"/>
      <c r="BEG90" s="220"/>
      <c r="BEH90" s="221"/>
      <c r="BEI90" s="222"/>
      <c r="BEJ90" s="222"/>
      <c r="BEK90" s="223"/>
      <c r="BEL90" s="223"/>
      <c r="BEM90" s="224"/>
      <c r="BEN90" s="223"/>
      <c r="BEO90" s="223"/>
      <c r="BEP90" s="223"/>
      <c r="BEQ90" s="223"/>
      <c r="BER90" s="225"/>
      <c r="BES90" s="220"/>
      <c r="BET90" s="221"/>
      <c r="BEU90" s="222"/>
      <c r="BEV90" s="222"/>
      <c r="BEW90" s="223"/>
      <c r="BEX90" s="223"/>
      <c r="BEY90" s="224"/>
      <c r="BEZ90" s="223"/>
      <c r="BFA90" s="223"/>
      <c r="BFB90" s="223"/>
      <c r="BFC90" s="223"/>
      <c r="BFD90" s="225"/>
      <c r="BFE90" s="220"/>
      <c r="BFF90" s="221"/>
      <c r="BFG90" s="222"/>
      <c r="BFH90" s="222"/>
      <c r="BFI90" s="223"/>
      <c r="BFJ90" s="223"/>
      <c r="BFK90" s="224"/>
      <c r="BFL90" s="223"/>
      <c r="BFM90" s="223"/>
      <c r="BFN90" s="223"/>
      <c r="BFO90" s="223"/>
      <c r="BFP90" s="225"/>
      <c r="BFQ90" s="220"/>
      <c r="BFR90" s="221"/>
      <c r="BFS90" s="222"/>
      <c r="BFT90" s="222"/>
      <c r="BFU90" s="223"/>
      <c r="BFV90" s="223"/>
      <c r="BFW90" s="224"/>
      <c r="BFX90" s="223"/>
      <c r="BFY90" s="223"/>
      <c r="BFZ90" s="223"/>
      <c r="BGA90" s="223"/>
      <c r="BGB90" s="225"/>
      <c r="BGC90" s="220"/>
      <c r="BGD90" s="221"/>
      <c r="BGE90" s="222"/>
      <c r="BGF90" s="222"/>
      <c r="BGG90" s="223"/>
      <c r="BGH90" s="223"/>
      <c r="BGI90" s="224"/>
      <c r="BGJ90" s="223"/>
      <c r="BGK90" s="223"/>
      <c r="BGL90" s="223"/>
      <c r="BGM90" s="223"/>
      <c r="BGN90" s="225"/>
      <c r="BGO90" s="220"/>
      <c r="BGP90" s="221"/>
      <c r="BGQ90" s="222"/>
      <c r="BGR90" s="222"/>
      <c r="BGS90" s="223"/>
      <c r="BGT90" s="223"/>
      <c r="BGU90" s="224"/>
      <c r="BGV90" s="223"/>
      <c r="BGW90" s="223"/>
      <c r="BGX90" s="223"/>
      <c r="BGY90" s="223"/>
      <c r="BGZ90" s="225"/>
      <c r="BHA90" s="220"/>
      <c r="BHB90" s="221"/>
      <c r="BHC90" s="222"/>
      <c r="BHD90" s="222"/>
      <c r="BHE90" s="223"/>
      <c r="BHF90" s="223"/>
      <c r="BHG90" s="224"/>
      <c r="BHH90" s="223"/>
      <c r="BHI90" s="223"/>
      <c r="BHJ90" s="223"/>
      <c r="BHK90" s="223"/>
      <c r="BHL90" s="225"/>
      <c r="BHM90" s="220"/>
      <c r="BHN90" s="221"/>
      <c r="BHO90" s="222"/>
      <c r="BHP90" s="222"/>
      <c r="BHQ90" s="223"/>
      <c r="BHR90" s="223"/>
      <c r="BHS90" s="224"/>
      <c r="BHT90" s="223"/>
      <c r="BHU90" s="223"/>
      <c r="BHV90" s="223"/>
      <c r="BHW90" s="223"/>
      <c r="BHX90" s="225"/>
      <c r="BHY90" s="220"/>
      <c r="BHZ90" s="221"/>
      <c r="BIA90" s="222"/>
      <c r="BIB90" s="222"/>
      <c r="BIC90" s="223"/>
      <c r="BID90" s="223"/>
      <c r="BIE90" s="224"/>
      <c r="BIF90" s="223"/>
      <c r="BIG90" s="223"/>
      <c r="BIH90" s="223"/>
      <c r="BII90" s="223"/>
      <c r="BIJ90" s="225"/>
      <c r="BIK90" s="220"/>
      <c r="BIL90" s="221"/>
      <c r="BIM90" s="222"/>
      <c r="BIN90" s="222"/>
      <c r="BIO90" s="223"/>
      <c r="BIP90" s="223"/>
      <c r="BIQ90" s="224"/>
      <c r="BIR90" s="223"/>
      <c r="BIS90" s="223"/>
      <c r="BIT90" s="223"/>
      <c r="BIU90" s="223"/>
      <c r="BIV90" s="225"/>
      <c r="BIW90" s="220"/>
      <c r="BIX90" s="221"/>
      <c r="BIY90" s="222"/>
      <c r="BIZ90" s="222"/>
      <c r="BJA90" s="223"/>
      <c r="BJB90" s="223"/>
      <c r="BJC90" s="224"/>
      <c r="BJD90" s="223"/>
      <c r="BJE90" s="223"/>
      <c r="BJF90" s="223"/>
      <c r="BJG90" s="223"/>
      <c r="BJH90" s="225"/>
      <c r="BJI90" s="220"/>
      <c r="BJJ90" s="221"/>
      <c r="BJK90" s="222"/>
      <c r="BJL90" s="222"/>
      <c r="BJM90" s="223"/>
      <c r="BJN90" s="223"/>
      <c r="BJO90" s="224"/>
      <c r="BJP90" s="223"/>
      <c r="BJQ90" s="223"/>
      <c r="BJR90" s="223"/>
      <c r="BJS90" s="223"/>
      <c r="BJT90" s="225"/>
      <c r="BJU90" s="220"/>
      <c r="BJV90" s="221"/>
      <c r="BJW90" s="222"/>
      <c r="BJX90" s="222"/>
      <c r="BJY90" s="223"/>
      <c r="BJZ90" s="223"/>
      <c r="BKA90" s="224"/>
      <c r="BKB90" s="223"/>
      <c r="BKC90" s="223"/>
      <c r="BKD90" s="223"/>
      <c r="BKE90" s="223"/>
      <c r="BKF90" s="225"/>
      <c r="BKG90" s="220"/>
      <c r="BKH90" s="221"/>
      <c r="BKI90" s="222"/>
      <c r="BKJ90" s="222"/>
      <c r="BKK90" s="223"/>
      <c r="BKL90" s="223"/>
      <c r="BKM90" s="224"/>
      <c r="BKN90" s="223"/>
      <c r="BKO90" s="223"/>
      <c r="BKP90" s="223"/>
      <c r="BKQ90" s="223"/>
      <c r="BKR90" s="225"/>
      <c r="BKS90" s="220"/>
      <c r="BKT90" s="221"/>
      <c r="BKU90" s="222"/>
      <c r="BKV90" s="222"/>
      <c r="BKW90" s="223"/>
      <c r="BKX90" s="223"/>
      <c r="BKY90" s="224"/>
      <c r="BKZ90" s="223"/>
      <c r="BLA90" s="223"/>
      <c r="BLB90" s="223"/>
      <c r="BLC90" s="223"/>
      <c r="BLD90" s="225"/>
      <c r="BLE90" s="220"/>
      <c r="BLF90" s="221"/>
      <c r="BLG90" s="222"/>
      <c r="BLH90" s="222"/>
      <c r="BLI90" s="223"/>
      <c r="BLJ90" s="223"/>
      <c r="BLK90" s="224"/>
      <c r="BLL90" s="223"/>
      <c r="BLM90" s="223"/>
      <c r="BLN90" s="223"/>
      <c r="BLO90" s="223"/>
      <c r="BLP90" s="225"/>
      <c r="BLQ90" s="220"/>
      <c r="BLR90" s="221"/>
      <c r="BLS90" s="222"/>
      <c r="BLT90" s="222"/>
      <c r="BLU90" s="223"/>
      <c r="BLV90" s="223"/>
      <c r="BLW90" s="224"/>
      <c r="BLX90" s="223"/>
      <c r="BLY90" s="223"/>
      <c r="BLZ90" s="223"/>
      <c r="BMA90" s="223"/>
      <c r="BMB90" s="225"/>
      <c r="BMC90" s="220"/>
      <c r="BMD90" s="221"/>
      <c r="BME90" s="222"/>
      <c r="BMF90" s="222"/>
      <c r="BMG90" s="223"/>
      <c r="BMH90" s="223"/>
      <c r="BMI90" s="224"/>
      <c r="BMJ90" s="223"/>
      <c r="BMK90" s="223"/>
      <c r="BML90" s="223"/>
      <c r="BMM90" s="223"/>
      <c r="BMN90" s="225"/>
      <c r="BMO90" s="220"/>
      <c r="BMP90" s="221"/>
      <c r="BMQ90" s="222"/>
      <c r="BMR90" s="222"/>
      <c r="BMS90" s="223"/>
      <c r="BMT90" s="223"/>
      <c r="BMU90" s="224"/>
      <c r="BMV90" s="223"/>
      <c r="BMW90" s="223"/>
      <c r="BMX90" s="223"/>
      <c r="BMY90" s="223"/>
      <c r="BMZ90" s="225"/>
      <c r="BNA90" s="220"/>
      <c r="BNB90" s="221"/>
      <c r="BNC90" s="222"/>
      <c r="BND90" s="222"/>
      <c r="BNE90" s="223"/>
      <c r="BNF90" s="223"/>
      <c r="BNG90" s="224"/>
      <c r="BNH90" s="223"/>
      <c r="BNI90" s="223"/>
      <c r="BNJ90" s="223"/>
      <c r="BNK90" s="223"/>
      <c r="BNL90" s="225"/>
      <c r="BNM90" s="220"/>
      <c r="BNN90" s="221"/>
      <c r="BNO90" s="222"/>
      <c r="BNP90" s="222"/>
      <c r="BNQ90" s="223"/>
      <c r="BNR90" s="223"/>
      <c r="BNS90" s="224"/>
      <c r="BNT90" s="223"/>
      <c r="BNU90" s="223"/>
      <c r="BNV90" s="223"/>
      <c r="BNW90" s="223"/>
      <c r="BNX90" s="225"/>
      <c r="BNY90" s="220"/>
      <c r="BNZ90" s="221"/>
      <c r="BOA90" s="222"/>
      <c r="BOB90" s="222"/>
      <c r="BOC90" s="223"/>
      <c r="BOD90" s="223"/>
      <c r="BOE90" s="224"/>
      <c r="BOF90" s="223"/>
      <c r="BOG90" s="223"/>
      <c r="BOH90" s="223"/>
      <c r="BOI90" s="223"/>
      <c r="BOJ90" s="225"/>
      <c r="BOK90" s="220"/>
      <c r="BOL90" s="221"/>
      <c r="BOM90" s="222"/>
      <c r="BON90" s="222"/>
      <c r="BOO90" s="223"/>
      <c r="BOP90" s="223"/>
      <c r="BOQ90" s="224"/>
      <c r="BOR90" s="223"/>
      <c r="BOS90" s="223"/>
      <c r="BOT90" s="223"/>
      <c r="BOU90" s="223"/>
      <c r="BOV90" s="225"/>
      <c r="BOW90" s="220"/>
      <c r="BOX90" s="221"/>
      <c r="BOY90" s="222"/>
      <c r="BOZ90" s="222"/>
      <c r="BPA90" s="223"/>
      <c r="BPB90" s="223"/>
      <c r="BPC90" s="224"/>
      <c r="BPD90" s="223"/>
      <c r="BPE90" s="223"/>
      <c r="BPF90" s="223"/>
      <c r="BPG90" s="223"/>
      <c r="BPH90" s="225"/>
      <c r="BPI90" s="220"/>
      <c r="BPJ90" s="221"/>
      <c r="BPK90" s="222"/>
      <c r="BPL90" s="222"/>
      <c r="BPM90" s="223"/>
      <c r="BPN90" s="223"/>
      <c r="BPO90" s="224"/>
      <c r="BPP90" s="223"/>
      <c r="BPQ90" s="223"/>
      <c r="BPR90" s="223"/>
      <c r="BPS90" s="223"/>
      <c r="BPT90" s="225"/>
      <c r="BPU90" s="220"/>
      <c r="BPV90" s="221"/>
      <c r="BPW90" s="222"/>
      <c r="BPX90" s="222"/>
      <c r="BPY90" s="223"/>
      <c r="BPZ90" s="223"/>
      <c r="BQA90" s="224"/>
      <c r="BQB90" s="223"/>
      <c r="BQC90" s="223"/>
      <c r="BQD90" s="223"/>
      <c r="BQE90" s="223"/>
      <c r="BQF90" s="225"/>
      <c r="BQG90" s="220"/>
      <c r="BQH90" s="221"/>
      <c r="BQI90" s="222"/>
      <c r="BQJ90" s="222"/>
      <c r="BQK90" s="223"/>
      <c r="BQL90" s="223"/>
      <c r="BQM90" s="224"/>
      <c r="BQN90" s="223"/>
      <c r="BQO90" s="223"/>
      <c r="BQP90" s="223"/>
      <c r="BQQ90" s="223"/>
      <c r="BQR90" s="225"/>
      <c r="BQS90" s="220"/>
      <c r="BQT90" s="221"/>
      <c r="BQU90" s="222"/>
      <c r="BQV90" s="222"/>
      <c r="BQW90" s="223"/>
      <c r="BQX90" s="223"/>
      <c r="BQY90" s="224"/>
      <c r="BQZ90" s="223"/>
      <c r="BRA90" s="223"/>
      <c r="BRB90" s="223"/>
      <c r="BRC90" s="223"/>
      <c r="BRD90" s="225"/>
      <c r="BRE90" s="220"/>
      <c r="BRF90" s="221"/>
      <c r="BRG90" s="222"/>
      <c r="BRH90" s="222"/>
      <c r="BRI90" s="223"/>
      <c r="BRJ90" s="223"/>
      <c r="BRK90" s="224"/>
      <c r="BRL90" s="223"/>
      <c r="BRM90" s="223"/>
      <c r="BRN90" s="223"/>
      <c r="BRO90" s="223"/>
      <c r="BRP90" s="225"/>
      <c r="BRQ90" s="220"/>
      <c r="BRR90" s="221"/>
      <c r="BRS90" s="222"/>
      <c r="BRT90" s="222"/>
      <c r="BRU90" s="223"/>
      <c r="BRV90" s="223"/>
      <c r="BRW90" s="224"/>
      <c r="BRX90" s="223"/>
      <c r="BRY90" s="223"/>
      <c r="BRZ90" s="223"/>
      <c r="BSA90" s="223"/>
      <c r="BSB90" s="225"/>
      <c r="BSC90" s="220"/>
      <c r="BSD90" s="221"/>
      <c r="BSE90" s="222"/>
      <c r="BSF90" s="222"/>
      <c r="BSG90" s="223"/>
      <c r="BSH90" s="223"/>
      <c r="BSI90" s="224"/>
      <c r="BSJ90" s="223"/>
      <c r="BSK90" s="223"/>
      <c r="BSL90" s="223"/>
      <c r="BSM90" s="223"/>
      <c r="BSN90" s="225"/>
      <c r="BSO90" s="220"/>
      <c r="BSP90" s="221"/>
      <c r="BSQ90" s="222"/>
      <c r="BSR90" s="222"/>
      <c r="BSS90" s="223"/>
      <c r="BST90" s="223"/>
      <c r="BSU90" s="224"/>
      <c r="BSV90" s="223"/>
      <c r="BSW90" s="223"/>
      <c r="BSX90" s="223"/>
      <c r="BSY90" s="223"/>
      <c r="BSZ90" s="225"/>
      <c r="BTA90" s="220"/>
      <c r="BTB90" s="221"/>
      <c r="BTC90" s="222"/>
      <c r="BTD90" s="222"/>
      <c r="BTE90" s="223"/>
      <c r="BTF90" s="223"/>
      <c r="BTG90" s="224"/>
      <c r="BTH90" s="223"/>
      <c r="BTI90" s="223"/>
      <c r="BTJ90" s="223"/>
      <c r="BTK90" s="223"/>
      <c r="BTL90" s="225"/>
      <c r="BTM90" s="220"/>
      <c r="BTN90" s="221"/>
      <c r="BTO90" s="222"/>
      <c r="BTP90" s="222"/>
      <c r="BTQ90" s="223"/>
      <c r="BTR90" s="223"/>
      <c r="BTS90" s="224"/>
      <c r="BTT90" s="223"/>
      <c r="BTU90" s="223"/>
      <c r="BTV90" s="223"/>
      <c r="BTW90" s="223"/>
      <c r="BTX90" s="225"/>
      <c r="BTY90" s="220"/>
      <c r="BTZ90" s="221"/>
      <c r="BUA90" s="222"/>
      <c r="BUB90" s="222"/>
      <c r="BUC90" s="223"/>
      <c r="BUD90" s="223"/>
      <c r="BUE90" s="224"/>
      <c r="BUF90" s="223"/>
      <c r="BUG90" s="223"/>
      <c r="BUH90" s="223"/>
      <c r="BUI90" s="223"/>
      <c r="BUJ90" s="225"/>
      <c r="BUK90" s="220"/>
      <c r="BUL90" s="221"/>
      <c r="BUM90" s="222"/>
      <c r="BUN90" s="222"/>
      <c r="BUO90" s="223"/>
      <c r="BUP90" s="223"/>
      <c r="BUQ90" s="224"/>
      <c r="BUR90" s="223"/>
      <c r="BUS90" s="223"/>
      <c r="BUT90" s="223"/>
      <c r="BUU90" s="223"/>
      <c r="BUV90" s="225"/>
      <c r="BUW90" s="220"/>
      <c r="BUX90" s="221"/>
      <c r="BUY90" s="222"/>
      <c r="BUZ90" s="222"/>
      <c r="BVA90" s="223"/>
      <c r="BVB90" s="223"/>
      <c r="BVC90" s="224"/>
      <c r="BVD90" s="223"/>
      <c r="BVE90" s="223"/>
      <c r="BVF90" s="223"/>
      <c r="BVG90" s="223"/>
      <c r="BVH90" s="225"/>
      <c r="BVI90" s="220"/>
      <c r="BVJ90" s="221"/>
      <c r="BVK90" s="222"/>
      <c r="BVL90" s="222"/>
      <c r="BVM90" s="223"/>
      <c r="BVN90" s="223"/>
      <c r="BVO90" s="224"/>
      <c r="BVP90" s="223"/>
      <c r="BVQ90" s="223"/>
      <c r="BVR90" s="223"/>
      <c r="BVS90" s="223"/>
      <c r="BVT90" s="225"/>
      <c r="BVU90" s="220"/>
      <c r="BVV90" s="221"/>
      <c r="BVW90" s="222"/>
      <c r="BVX90" s="222"/>
      <c r="BVY90" s="223"/>
      <c r="BVZ90" s="223"/>
      <c r="BWA90" s="224"/>
      <c r="BWB90" s="223"/>
      <c r="BWC90" s="223"/>
      <c r="BWD90" s="223"/>
      <c r="BWE90" s="223"/>
      <c r="BWF90" s="225"/>
      <c r="BWG90" s="220"/>
      <c r="BWH90" s="221"/>
      <c r="BWI90" s="222"/>
      <c r="BWJ90" s="222"/>
      <c r="BWK90" s="223"/>
      <c r="BWL90" s="223"/>
      <c r="BWM90" s="224"/>
      <c r="BWN90" s="223"/>
      <c r="BWO90" s="223"/>
      <c r="BWP90" s="223"/>
      <c r="BWQ90" s="223"/>
      <c r="BWR90" s="225"/>
      <c r="BWS90" s="220"/>
      <c r="BWT90" s="221"/>
      <c r="BWU90" s="222"/>
      <c r="BWV90" s="222"/>
      <c r="BWW90" s="223"/>
      <c r="BWX90" s="223"/>
      <c r="BWY90" s="224"/>
      <c r="BWZ90" s="223"/>
      <c r="BXA90" s="223"/>
      <c r="BXB90" s="223"/>
      <c r="BXC90" s="223"/>
      <c r="BXD90" s="225"/>
      <c r="BXE90" s="220"/>
      <c r="BXF90" s="221"/>
      <c r="BXG90" s="222"/>
      <c r="BXH90" s="222"/>
      <c r="BXI90" s="223"/>
      <c r="BXJ90" s="223"/>
      <c r="BXK90" s="224"/>
      <c r="BXL90" s="223"/>
      <c r="BXM90" s="223"/>
      <c r="BXN90" s="223"/>
      <c r="BXO90" s="223"/>
      <c r="BXP90" s="225"/>
      <c r="BXQ90" s="220"/>
      <c r="BXR90" s="221"/>
      <c r="BXS90" s="222"/>
      <c r="BXT90" s="222"/>
      <c r="BXU90" s="223"/>
      <c r="BXV90" s="223"/>
      <c r="BXW90" s="224"/>
      <c r="BXX90" s="223"/>
      <c r="BXY90" s="223"/>
      <c r="BXZ90" s="223"/>
      <c r="BYA90" s="223"/>
      <c r="BYB90" s="225"/>
      <c r="BYC90" s="220"/>
      <c r="BYD90" s="221"/>
      <c r="BYE90" s="222"/>
      <c r="BYF90" s="222"/>
      <c r="BYG90" s="223"/>
      <c r="BYH90" s="223"/>
      <c r="BYI90" s="224"/>
      <c r="BYJ90" s="223"/>
      <c r="BYK90" s="223"/>
      <c r="BYL90" s="223"/>
      <c r="BYM90" s="223"/>
      <c r="BYN90" s="225"/>
      <c r="BYO90" s="220"/>
      <c r="BYP90" s="221"/>
      <c r="BYQ90" s="222"/>
      <c r="BYR90" s="222"/>
      <c r="BYS90" s="223"/>
      <c r="BYT90" s="223"/>
      <c r="BYU90" s="224"/>
      <c r="BYV90" s="223"/>
      <c r="BYW90" s="223"/>
      <c r="BYX90" s="223"/>
      <c r="BYY90" s="223"/>
      <c r="BYZ90" s="225"/>
      <c r="BZA90" s="220"/>
      <c r="BZB90" s="221"/>
      <c r="BZC90" s="222"/>
      <c r="BZD90" s="222"/>
      <c r="BZE90" s="223"/>
      <c r="BZF90" s="223"/>
      <c r="BZG90" s="224"/>
      <c r="BZH90" s="223"/>
      <c r="BZI90" s="223"/>
      <c r="BZJ90" s="223"/>
      <c r="BZK90" s="223"/>
      <c r="BZL90" s="225"/>
      <c r="BZM90" s="220"/>
      <c r="BZN90" s="221"/>
      <c r="BZO90" s="222"/>
      <c r="BZP90" s="222"/>
      <c r="BZQ90" s="223"/>
      <c r="BZR90" s="223"/>
      <c r="BZS90" s="224"/>
      <c r="BZT90" s="223"/>
      <c r="BZU90" s="223"/>
      <c r="BZV90" s="223"/>
      <c r="BZW90" s="223"/>
      <c r="BZX90" s="225"/>
      <c r="BZY90" s="220"/>
      <c r="BZZ90" s="221"/>
      <c r="CAA90" s="222"/>
      <c r="CAB90" s="222"/>
      <c r="CAC90" s="223"/>
      <c r="CAD90" s="223"/>
      <c r="CAE90" s="224"/>
      <c r="CAF90" s="223"/>
      <c r="CAG90" s="223"/>
      <c r="CAH90" s="223"/>
      <c r="CAI90" s="223"/>
      <c r="CAJ90" s="225"/>
      <c r="CAK90" s="220"/>
      <c r="CAL90" s="221"/>
      <c r="CAM90" s="222"/>
      <c r="CAN90" s="222"/>
      <c r="CAO90" s="223"/>
      <c r="CAP90" s="223"/>
      <c r="CAQ90" s="224"/>
      <c r="CAR90" s="223"/>
      <c r="CAS90" s="223"/>
      <c r="CAT90" s="223"/>
      <c r="CAU90" s="223"/>
      <c r="CAV90" s="225"/>
      <c r="CAW90" s="220"/>
      <c r="CAX90" s="221"/>
      <c r="CAY90" s="222"/>
      <c r="CAZ90" s="222"/>
      <c r="CBA90" s="223"/>
      <c r="CBB90" s="223"/>
      <c r="CBC90" s="224"/>
      <c r="CBD90" s="223"/>
      <c r="CBE90" s="223"/>
      <c r="CBF90" s="223"/>
      <c r="CBG90" s="223"/>
      <c r="CBH90" s="225"/>
      <c r="CBI90" s="220"/>
      <c r="CBJ90" s="221"/>
      <c r="CBK90" s="222"/>
      <c r="CBL90" s="222"/>
      <c r="CBM90" s="223"/>
      <c r="CBN90" s="223"/>
      <c r="CBO90" s="224"/>
      <c r="CBP90" s="223"/>
      <c r="CBQ90" s="223"/>
      <c r="CBR90" s="223"/>
      <c r="CBS90" s="223"/>
      <c r="CBT90" s="225"/>
      <c r="CBU90" s="220"/>
      <c r="CBV90" s="221"/>
      <c r="CBW90" s="222"/>
      <c r="CBX90" s="222"/>
      <c r="CBY90" s="223"/>
      <c r="CBZ90" s="223"/>
      <c r="CCA90" s="224"/>
      <c r="CCB90" s="223"/>
      <c r="CCC90" s="223"/>
      <c r="CCD90" s="223"/>
      <c r="CCE90" s="223"/>
      <c r="CCF90" s="225"/>
      <c r="CCG90" s="220"/>
      <c r="CCH90" s="221"/>
      <c r="CCI90" s="222"/>
      <c r="CCJ90" s="222"/>
      <c r="CCK90" s="223"/>
      <c r="CCL90" s="223"/>
      <c r="CCM90" s="224"/>
      <c r="CCN90" s="223"/>
      <c r="CCO90" s="223"/>
      <c r="CCP90" s="223"/>
      <c r="CCQ90" s="223"/>
      <c r="CCR90" s="225"/>
      <c r="CCS90" s="220"/>
      <c r="CCT90" s="221"/>
      <c r="CCU90" s="222"/>
      <c r="CCV90" s="222"/>
      <c r="CCW90" s="223"/>
      <c r="CCX90" s="223"/>
      <c r="CCY90" s="224"/>
      <c r="CCZ90" s="223"/>
      <c r="CDA90" s="223"/>
      <c r="CDB90" s="223"/>
      <c r="CDC90" s="223"/>
      <c r="CDD90" s="225"/>
      <c r="CDE90" s="220"/>
      <c r="CDF90" s="221"/>
      <c r="CDG90" s="222"/>
      <c r="CDH90" s="222"/>
      <c r="CDI90" s="223"/>
      <c r="CDJ90" s="223"/>
      <c r="CDK90" s="224"/>
      <c r="CDL90" s="223"/>
      <c r="CDM90" s="223"/>
      <c r="CDN90" s="223"/>
      <c r="CDO90" s="223"/>
      <c r="CDP90" s="225"/>
      <c r="CDQ90" s="220"/>
      <c r="CDR90" s="221"/>
      <c r="CDS90" s="222"/>
      <c r="CDT90" s="222"/>
      <c r="CDU90" s="223"/>
      <c r="CDV90" s="223"/>
      <c r="CDW90" s="224"/>
      <c r="CDX90" s="223"/>
      <c r="CDY90" s="223"/>
      <c r="CDZ90" s="223"/>
      <c r="CEA90" s="223"/>
      <c r="CEB90" s="225"/>
      <c r="CEC90" s="220"/>
      <c r="CED90" s="221"/>
      <c r="CEE90" s="222"/>
      <c r="CEF90" s="222"/>
      <c r="CEG90" s="223"/>
      <c r="CEH90" s="223"/>
      <c r="CEI90" s="224"/>
      <c r="CEJ90" s="223"/>
      <c r="CEK90" s="223"/>
      <c r="CEL90" s="223"/>
      <c r="CEM90" s="223"/>
      <c r="CEN90" s="225"/>
      <c r="CEO90" s="220"/>
      <c r="CEP90" s="221"/>
      <c r="CEQ90" s="222"/>
      <c r="CER90" s="222"/>
      <c r="CES90" s="223"/>
      <c r="CET90" s="223"/>
      <c r="CEU90" s="224"/>
      <c r="CEV90" s="223"/>
      <c r="CEW90" s="223"/>
      <c r="CEX90" s="223"/>
      <c r="CEY90" s="223"/>
      <c r="CEZ90" s="225"/>
      <c r="CFA90" s="220"/>
      <c r="CFB90" s="221"/>
      <c r="CFC90" s="222"/>
      <c r="CFD90" s="222"/>
      <c r="CFE90" s="223"/>
      <c r="CFF90" s="223"/>
      <c r="CFG90" s="224"/>
      <c r="CFH90" s="223"/>
      <c r="CFI90" s="223"/>
      <c r="CFJ90" s="223"/>
      <c r="CFK90" s="223"/>
      <c r="CFL90" s="225"/>
      <c r="CFM90" s="220"/>
      <c r="CFN90" s="221"/>
      <c r="CFO90" s="222"/>
      <c r="CFP90" s="222"/>
      <c r="CFQ90" s="223"/>
      <c r="CFR90" s="223"/>
      <c r="CFS90" s="224"/>
      <c r="CFT90" s="223"/>
      <c r="CFU90" s="223"/>
      <c r="CFV90" s="223"/>
      <c r="CFW90" s="223"/>
      <c r="CFX90" s="225"/>
      <c r="CFY90" s="220"/>
      <c r="CFZ90" s="221"/>
      <c r="CGA90" s="222"/>
      <c r="CGB90" s="222"/>
      <c r="CGC90" s="223"/>
      <c r="CGD90" s="223"/>
      <c r="CGE90" s="224"/>
      <c r="CGF90" s="223"/>
      <c r="CGG90" s="223"/>
      <c r="CGH90" s="223"/>
      <c r="CGI90" s="223"/>
      <c r="CGJ90" s="225"/>
      <c r="CGK90" s="220"/>
      <c r="CGL90" s="221"/>
      <c r="CGM90" s="222"/>
      <c r="CGN90" s="222"/>
      <c r="CGO90" s="223"/>
      <c r="CGP90" s="223"/>
      <c r="CGQ90" s="224"/>
      <c r="CGR90" s="223"/>
      <c r="CGS90" s="223"/>
      <c r="CGT90" s="223"/>
      <c r="CGU90" s="223"/>
      <c r="CGV90" s="225"/>
      <c r="CGW90" s="220"/>
      <c r="CGX90" s="221"/>
      <c r="CGY90" s="222"/>
      <c r="CGZ90" s="222"/>
      <c r="CHA90" s="223"/>
      <c r="CHB90" s="223"/>
      <c r="CHC90" s="224"/>
      <c r="CHD90" s="223"/>
      <c r="CHE90" s="223"/>
      <c r="CHF90" s="223"/>
      <c r="CHG90" s="223"/>
      <c r="CHH90" s="225"/>
      <c r="CHI90" s="220"/>
      <c r="CHJ90" s="221"/>
      <c r="CHK90" s="222"/>
      <c r="CHL90" s="222"/>
      <c r="CHM90" s="223"/>
      <c r="CHN90" s="223"/>
      <c r="CHO90" s="224"/>
      <c r="CHP90" s="223"/>
      <c r="CHQ90" s="223"/>
      <c r="CHR90" s="223"/>
      <c r="CHS90" s="223"/>
      <c r="CHT90" s="225"/>
      <c r="CHU90" s="220"/>
      <c r="CHV90" s="221"/>
      <c r="CHW90" s="222"/>
      <c r="CHX90" s="222"/>
      <c r="CHY90" s="223"/>
      <c r="CHZ90" s="223"/>
      <c r="CIA90" s="224"/>
      <c r="CIB90" s="223"/>
      <c r="CIC90" s="223"/>
      <c r="CID90" s="223"/>
      <c r="CIE90" s="223"/>
      <c r="CIF90" s="225"/>
      <c r="CIG90" s="220"/>
      <c r="CIH90" s="221"/>
      <c r="CII90" s="222"/>
      <c r="CIJ90" s="222"/>
      <c r="CIK90" s="223"/>
      <c r="CIL90" s="223"/>
      <c r="CIM90" s="224"/>
      <c r="CIN90" s="223"/>
      <c r="CIO90" s="223"/>
      <c r="CIP90" s="223"/>
      <c r="CIQ90" s="223"/>
      <c r="CIR90" s="225"/>
      <c r="CIS90" s="220"/>
      <c r="CIT90" s="221"/>
      <c r="CIU90" s="222"/>
      <c r="CIV90" s="222"/>
      <c r="CIW90" s="223"/>
      <c r="CIX90" s="223"/>
      <c r="CIY90" s="224"/>
      <c r="CIZ90" s="223"/>
      <c r="CJA90" s="223"/>
      <c r="CJB90" s="223"/>
      <c r="CJC90" s="223"/>
      <c r="CJD90" s="225"/>
      <c r="CJE90" s="220"/>
      <c r="CJF90" s="221"/>
      <c r="CJG90" s="222"/>
      <c r="CJH90" s="222"/>
      <c r="CJI90" s="223"/>
      <c r="CJJ90" s="223"/>
      <c r="CJK90" s="224"/>
      <c r="CJL90" s="223"/>
      <c r="CJM90" s="223"/>
      <c r="CJN90" s="223"/>
      <c r="CJO90" s="223"/>
      <c r="CJP90" s="225"/>
      <c r="CJQ90" s="220"/>
      <c r="CJR90" s="221"/>
      <c r="CJS90" s="222"/>
      <c r="CJT90" s="222"/>
      <c r="CJU90" s="223"/>
      <c r="CJV90" s="223"/>
      <c r="CJW90" s="224"/>
      <c r="CJX90" s="223"/>
      <c r="CJY90" s="223"/>
      <c r="CJZ90" s="223"/>
      <c r="CKA90" s="223"/>
      <c r="CKB90" s="225"/>
      <c r="CKC90" s="220"/>
      <c r="CKD90" s="221"/>
      <c r="CKE90" s="222"/>
      <c r="CKF90" s="222"/>
      <c r="CKG90" s="223"/>
      <c r="CKH90" s="223"/>
      <c r="CKI90" s="224"/>
      <c r="CKJ90" s="223"/>
      <c r="CKK90" s="223"/>
      <c r="CKL90" s="223"/>
      <c r="CKM90" s="223"/>
      <c r="CKN90" s="225"/>
      <c r="CKO90" s="220"/>
      <c r="CKP90" s="221"/>
      <c r="CKQ90" s="222"/>
      <c r="CKR90" s="222"/>
      <c r="CKS90" s="223"/>
      <c r="CKT90" s="223"/>
      <c r="CKU90" s="224"/>
      <c r="CKV90" s="223"/>
      <c r="CKW90" s="223"/>
      <c r="CKX90" s="223"/>
      <c r="CKY90" s="223"/>
      <c r="CKZ90" s="225"/>
      <c r="CLA90" s="220"/>
      <c r="CLB90" s="221"/>
      <c r="CLC90" s="222"/>
      <c r="CLD90" s="222"/>
      <c r="CLE90" s="223"/>
      <c r="CLF90" s="223"/>
      <c r="CLG90" s="224"/>
      <c r="CLH90" s="223"/>
      <c r="CLI90" s="223"/>
      <c r="CLJ90" s="223"/>
      <c r="CLK90" s="223"/>
      <c r="CLL90" s="225"/>
      <c r="CLM90" s="220"/>
      <c r="CLN90" s="221"/>
      <c r="CLO90" s="222"/>
      <c r="CLP90" s="222"/>
      <c r="CLQ90" s="223"/>
      <c r="CLR90" s="223"/>
      <c r="CLS90" s="224"/>
      <c r="CLT90" s="223"/>
      <c r="CLU90" s="223"/>
      <c r="CLV90" s="223"/>
      <c r="CLW90" s="223"/>
      <c r="CLX90" s="225"/>
      <c r="CLY90" s="220"/>
      <c r="CLZ90" s="221"/>
      <c r="CMA90" s="222"/>
      <c r="CMB90" s="222"/>
      <c r="CMC90" s="223"/>
      <c r="CMD90" s="223"/>
      <c r="CME90" s="224"/>
      <c r="CMF90" s="223"/>
      <c r="CMG90" s="223"/>
      <c r="CMH90" s="223"/>
      <c r="CMI90" s="223"/>
      <c r="CMJ90" s="225"/>
      <c r="CMK90" s="220"/>
      <c r="CML90" s="221"/>
      <c r="CMM90" s="222"/>
      <c r="CMN90" s="222"/>
      <c r="CMO90" s="223"/>
      <c r="CMP90" s="223"/>
      <c r="CMQ90" s="224"/>
      <c r="CMR90" s="223"/>
      <c r="CMS90" s="223"/>
      <c r="CMT90" s="223"/>
      <c r="CMU90" s="223"/>
      <c r="CMV90" s="225"/>
      <c r="CMW90" s="220"/>
      <c r="CMX90" s="221"/>
      <c r="CMY90" s="222"/>
      <c r="CMZ90" s="222"/>
      <c r="CNA90" s="223"/>
      <c r="CNB90" s="223"/>
      <c r="CNC90" s="224"/>
      <c r="CND90" s="223"/>
      <c r="CNE90" s="223"/>
      <c r="CNF90" s="223"/>
      <c r="CNG90" s="223"/>
      <c r="CNH90" s="225"/>
      <c r="CNI90" s="220"/>
      <c r="CNJ90" s="221"/>
      <c r="CNK90" s="222"/>
      <c r="CNL90" s="222"/>
      <c r="CNM90" s="223"/>
      <c r="CNN90" s="223"/>
      <c r="CNO90" s="224"/>
      <c r="CNP90" s="223"/>
      <c r="CNQ90" s="223"/>
      <c r="CNR90" s="223"/>
      <c r="CNS90" s="223"/>
      <c r="CNT90" s="225"/>
      <c r="CNU90" s="220"/>
      <c r="CNV90" s="221"/>
      <c r="CNW90" s="222"/>
      <c r="CNX90" s="222"/>
      <c r="CNY90" s="223"/>
      <c r="CNZ90" s="223"/>
      <c r="COA90" s="224"/>
      <c r="COB90" s="223"/>
      <c r="COC90" s="223"/>
      <c r="COD90" s="223"/>
      <c r="COE90" s="223"/>
      <c r="COF90" s="225"/>
      <c r="COG90" s="220"/>
      <c r="COH90" s="221"/>
      <c r="COI90" s="222"/>
      <c r="COJ90" s="222"/>
      <c r="COK90" s="223"/>
      <c r="COL90" s="223"/>
      <c r="COM90" s="224"/>
      <c r="CON90" s="223"/>
      <c r="COO90" s="223"/>
      <c r="COP90" s="223"/>
      <c r="COQ90" s="223"/>
      <c r="COR90" s="225"/>
      <c r="COS90" s="220"/>
      <c r="COT90" s="221"/>
      <c r="COU90" s="222"/>
      <c r="COV90" s="222"/>
      <c r="COW90" s="223"/>
      <c r="COX90" s="223"/>
      <c r="COY90" s="224"/>
      <c r="COZ90" s="223"/>
      <c r="CPA90" s="223"/>
      <c r="CPB90" s="223"/>
      <c r="CPC90" s="223"/>
      <c r="CPD90" s="225"/>
      <c r="CPE90" s="220"/>
      <c r="CPF90" s="221"/>
      <c r="CPG90" s="222"/>
      <c r="CPH90" s="222"/>
      <c r="CPI90" s="223"/>
      <c r="CPJ90" s="223"/>
      <c r="CPK90" s="224"/>
      <c r="CPL90" s="223"/>
      <c r="CPM90" s="223"/>
      <c r="CPN90" s="223"/>
      <c r="CPO90" s="223"/>
      <c r="CPP90" s="225"/>
      <c r="CPQ90" s="220"/>
      <c r="CPR90" s="221"/>
      <c r="CPS90" s="222"/>
      <c r="CPT90" s="222"/>
      <c r="CPU90" s="223"/>
      <c r="CPV90" s="223"/>
      <c r="CPW90" s="224"/>
      <c r="CPX90" s="223"/>
      <c r="CPY90" s="223"/>
      <c r="CPZ90" s="223"/>
      <c r="CQA90" s="223"/>
      <c r="CQB90" s="225"/>
      <c r="CQC90" s="220"/>
      <c r="CQD90" s="221"/>
      <c r="CQE90" s="222"/>
      <c r="CQF90" s="222"/>
      <c r="CQG90" s="223"/>
      <c r="CQH90" s="223"/>
      <c r="CQI90" s="224"/>
      <c r="CQJ90" s="223"/>
      <c r="CQK90" s="223"/>
      <c r="CQL90" s="223"/>
      <c r="CQM90" s="223"/>
      <c r="CQN90" s="225"/>
      <c r="CQO90" s="220"/>
      <c r="CQP90" s="221"/>
      <c r="CQQ90" s="222"/>
      <c r="CQR90" s="222"/>
      <c r="CQS90" s="223"/>
      <c r="CQT90" s="223"/>
      <c r="CQU90" s="224"/>
      <c r="CQV90" s="223"/>
      <c r="CQW90" s="223"/>
      <c r="CQX90" s="223"/>
      <c r="CQY90" s="223"/>
      <c r="CQZ90" s="225"/>
      <c r="CRA90" s="220"/>
      <c r="CRB90" s="221"/>
      <c r="CRC90" s="222"/>
      <c r="CRD90" s="222"/>
      <c r="CRE90" s="223"/>
      <c r="CRF90" s="223"/>
      <c r="CRG90" s="224"/>
      <c r="CRH90" s="223"/>
      <c r="CRI90" s="223"/>
      <c r="CRJ90" s="223"/>
      <c r="CRK90" s="223"/>
      <c r="CRL90" s="225"/>
      <c r="CRM90" s="220"/>
      <c r="CRN90" s="221"/>
      <c r="CRO90" s="222"/>
      <c r="CRP90" s="222"/>
      <c r="CRQ90" s="223"/>
      <c r="CRR90" s="223"/>
      <c r="CRS90" s="224"/>
      <c r="CRT90" s="223"/>
      <c r="CRU90" s="223"/>
      <c r="CRV90" s="223"/>
      <c r="CRW90" s="223"/>
      <c r="CRX90" s="225"/>
      <c r="CRY90" s="220"/>
      <c r="CRZ90" s="221"/>
      <c r="CSA90" s="222"/>
      <c r="CSB90" s="222"/>
      <c r="CSC90" s="223"/>
      <c r="CSD90" s="223"/>
      <c r="CSE90" s="224"/>
      <c r="CSF90" s="223"/>
      <c r="CSG90" s="223"/>
      <c r="CSH90" s="223"/>
      <c r="CSI90" s="223"/>
      <c r="CSJ90" s="225"/>
      <c r="CSK90" s="220"/>
      <c r="CSL90" s="221"/>
      <c r="CSM90" s="222"/>
      <c r="CSN90" s="222"/>
      <c r="CSO90" s="223"/>
      <c r="CSP90" s="223"/>
      <c r="CSQ90" s="224"/>
      <c r="CSR90" s="223"/>
      <c r="CSS90" s="223"/>
      <c r="CST90" s="223"/>
      <c r="CSU90" s="223"/>
      <c r="CSV90" s="225"/>
      <c r="CSW90" s="220"/>
      <c r="CSX90" s="221"/>
      <c r="CSY90" s="222"/>
      <c r="CSZ90" s="222"/>
      <c r="CTA90" s="223"/>
      <c r="CTB90" s="223"/>
      <c r="CTC90" s="224"/>
      <c r="CTD90" s="223"/>
      <c r="CTE90" s="223"/>
      <c r="CTF90" s="223"/>
      <c r="CTG90" s="223"/>
      <c r="CTH90" s="225"/>
      <c r="CTI90" s="220"/>
      <c r="CTJ90" s="221"/>
      <c r="CTK90" s="222"/>
      <c r="CTL90" s="222"/>
      <c r="CTM90" s="223"/>
      <c r="CTN90" s="223"/>
      <c r="CTO90" s="224"/>
      <c r="CTP90" s="223"/>
      <c r="CTQ90" s="223"/>
      <c r="CTR90" s="223"/>
      <c r="CTS90" s="223"/>
      <c r="CTT90" s="225"/>
      <c r="CTU90" s="220"/>
      <c r="CTV90" s="221"/>
      <c r="CTW90" s="222"/>
      <c r="CTX90" s="222"/>
      <c r="CTY90" s="223"/>
      <c r="CTZ90" s="223"/>
      <c r="CUA90" s="224"/>
      <c r="CUB90" s="223"/>
      <c r="CUC90" s="223"/>
      <c r="CUD90" s="223"/>
      <c r="CUE90" s="223"/>
      <c r="CUF90" s="225"/>
      <c r="CUG90" s="220"/>
      <c r="CUH90" s="221"/>
      <c r="CUI90" s="222"/>
      <c r="CUJ90" s="222"/>
      <c r="CUK90" s="223"/>
      <c r="CUL90" s="223"/>
      <c r="CUM90" s="224"/>
      <c r="CUN90" s="223"/>
      <c r="CUO90" s="223"/>
      <c r="CUP90" s="223"/>
      <c r="CUQ90" s="223"/>
      <c r="CUR90" s="225"/>
      <c r="CUS90" s="220"/>
      <c r="CUT90" s="221"/>
      <c r="CUU90" s="222"/>
      <c r="CUV90" s="222"/>
      <c r="CUW90" s="223"/>
      <c r="CUX90" s="223"/>
      <c r="CUY90" s="224"/>
      <c r="CUZ90" s="223"/>
      <c r="CVA90" s="223"/>
      <c r="CVB90" s="223"/>
      <c r="CVC90" s="223"/>
      <c r="CVD90" s="225"/>
      <c r="CVE90" s="220"/>
      <c r="CVF90" s="221"/>
      <c r="CVG90" s="222"/>
      <c r="CVH90" s="222"/>
      <c r="CVI90" s="223"/>
      <c r="CVJ90" s="223"/>
      <c r="CVK90" s="224"/>
      <c r="CVL90" s="223"/>
      <c r="CVM90" s="223"/>
      <c r="CVN90" s="223"/>
      <c r="CVO90" s="223"/>
      <c r="CVP90" s="225"/>
      <c r="CVQ90" s="220"/>
      <c r="CVR90" s="221"/>
      <c r="CVS90" s="222"/>
      <c r="CVT90" s="222"/>
      <c r="CVU90" s="223"/>
      <c r="CVV90" s="223"/>
      <c r="CVW90" s="224"/>
      <c r="CVX90" s="223"/>
      <c r="CVY90" s="223"/>
      <c r="CVZ90" s="223"/>
      <c r="CWA90" s="223"/>
      <c r="CWB90" s="225"/>
      <c r="CWC90" s="220"/>
      <c r="CWD90" s="221"/>
      <c r="CWE90" s="222"/>
      <c r="CWF90" s="222"/>
      <c r="CWG90" s="223"/>
      <c r="CWH90" s="223"/>
      <c r="CWI90" s="224"/>
      <c r="CWJ90" s="223"/>
      <c r="CWK90" s="223"/>
      <c r="CWL90" s="223"/>
      <c r="CWM90" s="223"/>
      <c r="CWN90" s="225"/>
      <c r="CWO90" s="220"/>
      <c r="CWP90" s="221"/>
      <c r="CWQ90" s="222"/>
      <c r="CWR90" s="222"/>
      <c r="CWS90" s="223"/>
      <c r="CWT90" s="223"/>
      <c r="CWU90" s="224"/>
      <c r="CWV90" s="223"/>
      <c r="CWW90" s="223"/>
      <c r="CWX90" s="223"/>
      <c r="CWY90" s="223"/>
      <c r="CWZ90" s="225"/>
      <c r="CXA90" s="220"/>
      <c r="CXB90" s="221"/>
      <c r="CXC90" s="222"/>
      <c r="CXD90" s="222"/>
      <c r="CXE90" s="223"/>
      <c r="CXF90" s="223"/>
      <c r="CXG90" s="224"/>
      <c r="CXH90" s="223"/>
      <c r="CXI90" s="223"/>
      <c r="CXJ90" s="223"/>
      <c r="CXK90" s="223"/>
      <c r="CXL90" s="225"/>
      <c r="CXM90" s="220"/>
      <c r="CXN90" s="221"/>
      <c r="CXO90" s="222"/>
      <c r="CXP90" s="222"/>
      <c r="CXQ90" s="223"/>
      <c r="CXR90" s="223"/>
      <c r="CXS90" s="224"/>
      <c r="CXT90" s="223"/>
      <c r="CXU90" s="223"/>
      <c r="CXV90" s="223"/>
      <c r="CXW90" s="223"/>
      <c r="CXX90" s="225"/>
      <c r="CXY90" s="220"/>
      <c r="CXZ90" s="221"/>
      <c r="CYA90" s="222"/>
      <c r="CYB90" s="222"/>
      <c r="CYC90" s="223"/>
      <c r="CYD90" s="223"/>
      <c r="CYE90" s="224"/>
      <c r="CYF90" s="223"/>
      <c r="CYG90" s="223"/>
      <c r="CYH90" s="223"/>
      <c r="CYI90" s="223"/>
      <c r="CYJ90" s="225"/>
      <c r="CYK90" s="220"/>
      <c r="CYL90" s="221"/>
      <c r="CYM90" s="222"/>
      <c r="CYN90" s="222"/>
      <c r="CYO90" s="223"/>
      <c r="CYP90" s="223"/>
      <c r="CYQ90" s="224"/>
      <c r="CYR90" s="223"/>
      <c r="CYS90" s="223"/>
      <c r="CYT90" s="223"/>
      <c r="CYU90" s="223"/>
      <c r="CYV90" s="225"/>
      <c r="CYW90" s="220"/>
      <c r="CYX90" s="221"/>
      <c r="CYY90" s="222"/>
      <c r="CYZ90" s="222"/>
      <c r="CZA90" s="223"/>
      <c r="CZB90" s="223"/>
      <c r="CZC90" s="224"/>
      <c r="CZD90" s="223"/>
      <c r="CZE90" s="223"/>
      <c r="CZF90" s="223"/>
      <c r="CZG90" s="223"/>
      <c r="CZH90" s="225"/>
      <c r="CZI90" s="220"/>
      <c r="CZJ90" s="221"/>
      <c r="CZK90" s="222"/>
      <c r="CZL90" s="222"/>
      <c r="CZM90" s="223"/>
      <c r="CZN90" s="223"/>
      <c r="CZO90" s="224"/>
      <c r="CZP90" s="223"/>
      <c r="CZQ90" s="223"/>
      <c r="CZR90" s="223"/>
      <c r="CZS90" s="223"/>
      <c r="CZT90" s="225"/>
      <c r="CZU90" s="220"/>
      <c r="CZV90" s="221"/>
      <c r="CZW90" s="222"/>
      <c r="CZX90" s="222"/>
      <c r="CZY90" s="223"/>
      <c r="CZZ90" s="223"/>
      <c r="DAA90" s="224"/>
      <c r="DAB90" s="223"/>
      <c r="DAC90" s="223"/>
      <c r="DAD90" s="223"/>
      <c r="DAE90" s="223"/>
      <c r="DAF90" s="225"/>
      <c r="DAG90" s="220"/>
      <c r="DAH90" s="221"/>
      <c r="DAI90" s="222"/>
      <c r="DAJ90" s="222"/>
      <c r="DAK90" s="223"/>
      <c r="DAL90" s="223"/>
      <c r="DAM90" s="224"/>
      <c r="DAN90" s="223"/>
      <c r="DAO90" s="223"/>
      <c r="DAP90" s="223"/>
      <c r="DAQ90" s="223"/>
      <c r="DAR90" s="225"/>
      <c r="DAS90" s="220"/>
      <c r="DAT90" s="221"/>
      <c r="DAU90" s="222"/>
      <c r="DAV90" s="222"/>
      <c r="DAW90" s="223"/>
      <c r="DAX90" s="223"/>
      <c r="DAY90" s="224"/>
      <c r="DAZ90" s="223"/>
      <c r="DBA90" s="223"/>
      <c r="DBB90" s="223"/>
      <c r="DBC90" s="223"/>
      <c r="DBD90" s="225"/>
      <c r="DBE90" s="220"/>
      <c r="DBF90" s="221"/>
      <c r="DBG90" s="222"/>
      <c r="DBH90" s="222"/>
      <c r="DBI90" s="223"/>
      <c r="DBJ90" s="223"/>
      <c r="DBK90" s="224"/>
      <c r="DBL90" s="223"/>
      <c r="DBM90" s="223"/>
      <c r="DBN90" s="223"/>
      <c r="DBO90" s="223"/>
      <c r="DBP90" s="225"/>
      <c r="DBQ90" s="220"/>
      <c r="DBR90" s="221"/>
      <c r="DBS90" s="222"/>
      <c r="DBT90" s="222"/>
      <c r="DBU90" s="223"/>
      <c r="DBV90" s="223"/>
      <c r="DBW90" s="224"/>
      <c r="DBX90" s="223"/>
      <c r="DBY90" s="223"/>
      <c r="DBZ90" s="223"/>
      <c r="DCA90" s="223"/>
      <c r="DCB90" s="225"/>
      <c r="DCC90" s="220"/>
      <c r="DCD90" s="221"/>
      <c r="DCE90" s="222"/>
      <c r="DCF90" s="222"/>
      <c r="DCG90" s="223"/>
      <c r="DCH90" s="223"/>
      <c r="DCI90" s="224"/>
      <c r="DCJ90" s="223"/>
      <c r="DCK90" s="223"/>
      <c r="DCL90" s="223"/>
      <c r="DCM90" s="223"/>
      <c r="DCN90" s="225"/>
      <c r="DCO90" s="220"/>
      <c r="DCP90" s="221"/>
      <c r="DCQ90" s="222"/>
      <c r="DCR90" s="222"/>
      <c r="DCS90" s="223"/>
      <c r="DCT90" s="223"/>
      <c r="DCU90" s="224"/>
      <c r="DCV90" s="223"/>
      <c r="DCW90" s="223"/>
      <c r="DCX90" s="223"/>
      <c r="DCY90" s="223"/>
      <c r="DCZ90" s="225"/>
      <c r="DDA90" s="220"/>
      <c r="DDB90" s="221"/>
      <c r="DDC90" s="222"/>
      <c r="DDD90" s="222"/>
      <c r="DDE90" s="223"/>
      <c r="DDF90" s="223"/>
      <c r="DDG90" s="224"/>
      <c r="DDH90" s="223"/>
      <c r="DDI90" s="223"/>
      <c r="DDJ90" s="223"/>
      <c r="DDK90" s="223"/>
      <c r="DDL90" s="225"/>
      <c r="DDM90" s="220"/>
      <c r="DDN90" s="221"/>
      <c r="DDO90" s="222"/>
      <c r="DDP90" s="222"/>
      <c r="DDQ90" s="223"/>
      <c r="DDR90" s="223"/>
      <c r="DDS90" s="224"/>
      <c r="DDT90" s="223"/>
      <c r="DDU90" s="223"/>
      <c r="DDV90" s="223"/>
      <c r="DDW90" s="223"/>
      <c r="DDX90" s="225"/>
      <c r="DDY90" s="220"/>
      <c r="DDZ90" s="221"/>
      <c r="DEA90" s="222"/>
      <c r="DEB90" s="222"/>
      <c r="DEC90" s="223"/>
      <c r="DED90" s="223"/>
      <c r="DEE90" s="224"/>
      <c r="DEF90" s="223"/>
      <c r="DEG90" s="223"/>
      <c r="DEH90" s="223"/>
      <c r="DEI90" s="223"/>
      <c r="DEJ90" s="225"/>
      <c r="DEK90" s="220"/>
      <c r="DEL90" s="221"/>
      <c r="DEM90" s="222"/>
      <c r="DEN90" s="222"/>
      <c r="DEO90" s="223"/>
      <c r="DEP90" s="223"/>
      <c r="DEQ90" s="224"/>
      <c r="DER90" s="223"/>
      <c r="DES90" s="223"/>
      <c r="DET90" s="223"/>
      <c r="DEU90" s="223"/>
      <c r="DEV90" s="225"/>
      <c r="DEW90" s="220"/>
      <c r="DEX90" s="221"/>
      <c r="DEY90" s="222"/>
      <c r="DEZ90" s="222"/>
      <c r="DFA90" s="223"/>
      <c r="DFB90" s="223"/>
      <c r="DFC90" s="224"/>
      <c r="DFD90" s="223"/>
      <c r="DFE90" s="223"/>
      <c r="DFF90" s="223"/>
      <c r="DFG90" s="223"/>
      <c r="DFH90" s="225"/>
      <c r="DFI90" s="220"/>
      <c r="DFJ90" s="221"/>
      <c r="DFK90" s="222"/>
      <c r="DFL90" s="222"/>
      <c r="DFM90" s="223"/>
      <c r="DFN90" s="223"/>
      <c r="DFO90" s="224"/>
      <c r="DFP90" s="223"/>
      <c r="DFQ90" s="223"/>
      <c r="DFR90" s="223"/>
      <c r="DFS90" s="223"/>
      <c r="DFT90" s="225"/>
      <c r="DFU90" s="220"/>
      <c r="DFV90" s="221"/>
      <c r="DFW90" s="222"/>
      <c r="DFX90" s="222"/>
      <c r="DFY90" s="223"/>
      <c r="DFZ90" s="223"/>
      <c r="DGA90" s="224"/>
      <c r="DGB90" s="223"/>
      <c r="DGC90" s="223"/>
      <c r="DGD90" s="223"/>
      <c r="DGE90" s="223"/>
      <c r="DGF90" s="225"/>
      <c r="DGG90" s="220"/>
      <c r="DGH90" s="221"/>
      <c r="DGI90" s="222"/>
      <c r="DGJ90" s="222"/>
      <c r="DGK90" s="223"/>
      <c r="DGL90" s="223"/>
      <c r="DGM90" s="224"/>
      <c r="DGN90" s="223"/>
      <c r="DGO90" s="223"/>
      <c r="DGP90" s="223"/>
      <c r="DGQ90" s="223"/>
      <c r="DGR90" s="225"/>
      <c r="DGS90" s="220"/>
      <c r="DGT90" s="221"/>
      <c r="DGU90" s="222"/>
      <c r="DGV90" s="222"/>
      <c r="DGW90" s="223"/>
      <c r="DGX90" s="223"/>
      <c r="DGY90" s="224"/>
      <c r="DGZ90" s="223"/>
      <c r="DHA90" s="223"/>
      <c r="DHB90" s="223"/>
      <c r="DHC90" s="223"/>
      <c r="DHD90" s="225"/>
      <c r="DHE90" s="220"/>
      <c r="DHF90" s="221"/>
      <c r="DHG90" s="222"/>
      <c r="DHH90" s="222"/>
      <c r="DHI90" s="223"/>
      <c r="DHJ90" s="223"/>
      <c r="DHK90" s="224"/>
      <c r="DHL90" s="223"/>
      <c r="DHM90" s="223"/>
      <c r="DHN90" s="223"/>
      <c r="DHO90" s="223"/>
      <c r="DHP90" s="225"/>
      <c r="DHQ90" s="220"/>
      <c r="DHR90" s="221"/>
      <c r="DHS90" s="222"/>
      <c r="DHT90" s="222"/>
      <c r="DHU90" s="223"/>
      <c r="DHV90" s="223"/>
      <c r="DHW90" s="224"/>
      <c r="DHX90" s="223"/>
      <c r="DHY90" s="223"/>
      <c r="DHZ90" s="223"/>
      <c r="DIA90" s="223"/>
      <c r="DIB90" s="225"/>
      <c r="DIC90" s="220"/>
      <c r="DID90" s="221"/>
      <c r="DIE90" s="222"/>
      <c r="DIF90" s="222"/>
      <c r="DIG90" s="223"/>
      <c r="DIH90" s="223"/>
      <c r="DII90" s="224"/>
      <c r="DIJ90" s="223"/>
      <c r="DIK90" s="223"/>
      <c r="DIL90" s="223"/>
      <c r="DIM90" s="223"/>
      <c r="DIN90" s="225"/>
      <c r="DIO90" s="220"/>
      <c r="DIP90" s="221"/>
      <c r="DIQ90" s="222"/>
      <c r="DIR90" s="222"/>
      <c r="DIS90" s="223"/>
      <c r="DIT90" s="223"/>
      <c r="DIU90" s="224"/>
      <c r="DIV90" s="223"/>
      <c r="DIW90" s="223"/>
      <c r="DIX90" s="223"/>
      <c r="DIY90" s="223"/>
      <c r="DIZ90" s="225"/>
      <c r="DJA90" s="220"/>
      <c r="DJB90" s="221"/>
      <c r="DJC90" s="222"/>
      <c r="DJD90" s="222"/>
      <c r="DJE90" s="223"/>
      <c r="DJF90" s="223"/>
      <c r="DJG90" s="224"/>
      <c r="DJH90" s="223"/>
      <c r="DJI90" s="223"/>
      <c r="DJJ90" s="223"/>
      <c r="DJK90" s="223"/>
      <c r="DJL90" s="225"/>
      <c r="DJM90" s="220"/>
      <c r="DJN90" s="221"/>
      <c r="DJO90" s="222"/>
      <c r="DJP90" s="222"/>
      <c r="DJQ90" s="223"/>
      <c r="DJR90" s="223"/>
      <c r="DJS90" s="224"/>
      <c r="DJT90" s="223"/>
      <c r="DJU90" s="223"/>
      <c r="DJV90" s="223"/>
      <c r="DJW90" s="223"/>
      <c r="DJX90" s="225"/>
      <c r="DJY90" s="220"/>
      <c r="DJZ90" s="221"/>
      <c r="DKA90" s="222"/>
      <c r="DKB90" s="222"/>
      <c r="DKC90" s="223"/>
      <c r="DKD90" s="223"/>
      <c r="DKE90" s="224"/>
      <c r="DKF90" s="223"/>
      <c r="DKG90" s="223"/>
      <c r="DKH90" s="223"/>
      <c r="DKI90" s="223"/>
      <c r="DKJ90" s="225"/>
      <c r="DKK90" s="220"/>
      <c r="DKL90" s="221"/>
      <c r="DKM90" s="222"/>
      <c r="DKN90" s="222"/>
      <c r="DKO90" s="223"/>
      <c r="DKP90" s="223"/>
      <c r="DKQ90" s="224"/>
      <c r="DKR90" s="223"/>
      <c r="DKS90" s="223"/>
      <c r="DKT90" s="223"/>
      <c r="DKU90" s="223"/>
      <c r="DKV90" s="225"/>
      <c r="DKW90" s="220"/>
      <c r="DKX90" s="221"/>
      <c r="DKY90" s="222"/>
      <c r="DKZ90" s="222"/>
      <c r="DLA90" s="223"/>
      <c r="DLB90" s="223"/>
      <c r="DLC90" s="224"/>
      <c r="DLD90" s="223"/>
      <c r="DLE90" s="223"/>
      <c r="DLF90" s="223"/>
      <c r="DLG90" s="223"/>
      <c r="DLH90" s="225"/>
      <c r="DLI90" s="220"/>
      <c r="DLJ90" s="221"/>
      <c r="DLK90" s="222"/>
      <c r="DLL90" s="222"/>
      <c r="DLM90" s="223"/>
      <c r="DLN90" s="223"/>
      <c r="DLO90" s="224"/>
      <c r="DLP90" s="223"/>
      <c r="DLQ90" s="223"/>
      <c r="DLR90" s="223"/>
      <c r="DLS90" s="223"/>
      <c r="DLT90" s="225"/>
      <c r="DLU90" s="220"/>
      <c r="DLV90" s="221"/>
      <c r="DLW90" s="222"/>
      <c r="DLX90" s="222"/>
      <c r="DLY90" s="223"/>
      <c r="DLZ90" s="223"/>
      <c r="DMA90" s="224"/>
      <c r="DMB90" s="223"/>
      <c r="DMC90" s="223"/>
      <c r="DMD90" s="223"/>
      <c r="DME90" s="223"/>
      <c r="DMF90" s="225"/>
      <c r="DMG90" s="220"/>
      <c r="DMH90" s="221"/>
      <c r="DMI90" s="222"/>
      <c r="DMJ90" s="222"/>
      <c r="DMK90" s="223"/>
      <c r="DML90" s="223"/>
      <c r="DMM90" s="224"/>
      <c r="DMN90" s="223"/>
      <c r="DMO90" s="223"/>
      <c r="DMP90" s="223"/>
      <c r="DMQ90" s="223"/>
      <c r="DMR90" s="225"/>
      <c r="DMS90" s="220"/>
      <c r="DMT90" s="221"/>
      <c r="DMU90" s="222"/>
      <c r="DMV90" s="222"/>
      <c r="DMW90" s="223"/>
      <c r="DMX90" s="223"/>
      <c r="DMY90" s="224"/>
      <c r="DMZ90" s="223"/>
      <c r="DNA90" s="223"/>
      <c r="DNB90" s="223"/>
      <c r="DNC90" s="223"/>
      <c r="DND90" s="225"/>
      <c r="DNE90" s="220"/>
      <c r="DNF90" s="221"/>
      <c r="DNG90" s="222"/>
      <c r="DNH90" s="222"/>
      <c r="DNI90" s="223"/>
      <c r="DNJ90" s="223"/>
      <c r="DNK90" s="224"/>
      <c r="DNL90" s="223"/>
      <c r="DNM90" s="223"/>
      <c r="DNN90" s="223"/>
      <c r="DNO90" s="223"/>
      <c r="DNP90" s="225"/>
      <c r="DNQ90" s="220"/>
      <c r="DNR90" s="221"/>
      <c r="DNS90" s="222"/>
      <c r="DNT90" s="222"/>
      <c r="DNU90" s="223"/>
      <c r="DNV90" s="223"/>
      <c r="DNW90" s="224"/>
      <c r="DNX90" s="223"/>
      <c r="DNY90" s="223"/>
      <c r="DNZ90" s="223"/>
      <c r="DOA90" s="223"/>
      <c r="DOB90" s="225"/>
      <c r="DOC90" s="220"/>
      <c r="DOD90" s="221"/>
      <c r="DOE90" s="222"/>
      <c r="DOF90" s="222"/>
      <c r="DOG90" s="223"/>
      <c r="DOH90" s="223"/>
      <c r="DOI90" s="224"/>
      <c r="DOJ90" s="223"/>
      <c r="DOK90" s="223"/>
      <c r="DOL90" s="223"/>
      <c r="DOM90" s="223"/>
      <c r="DON90" s="225"/>
      <c r="DOO90" s="220"/>
      <c r="DOP90" s="221"/>
      <c r="DOQ90" s="222"/>
      <c r="DOR90" s="222"/>
      <c r="DOS90" s="223"/>
      <c r="DOT90" s="223"/>
      <c r="DOU90" s="224"/>
      <c r="DOV90" s="223"/>
      <c r="DOW90" s="223"/>
      <c r="DOX90" s="223"/>
      <c r="DOY90" s="223"/>
      <c r="DOZ90" s="225"/>
      <c r="DPA90" s="220"/>
      <c r="DPB90" s="221"/>
      <c r="DPC90" s="222"/>
      <c r="DPD90" s="222"/>
      <c r="DPE90" s="223"/>
      <c r="DPF90" s="223"/>
      <c r="DPG90" s="224"/>
      <c r="DPH90" s="223"/>
      <c r="DPI90" s="223"/>
      <c r="DPJ90" s="223"/>
      <c r="DPK90" s="223"/>
      <c r="DPL90" s="225"/>
      <c r="DPM90" s="220"/>
      <c r="DPN90" s="221"/>
      <c r="DPO90" s="222"/>
      <c r="DPP90" s="222"/>
      <c r="DPQ90" s="223"/>
      <c r="DPR90" s="223"/>
      <c r="DPS90" s="224"/>
      <c r="DPT90" s="223"/>
      <c r="DPU90" s="223"/>
      <c r="DPV90" s="223"/>
      <c r="DPW90" s="223"/>
      <c r="DPX90" s="225"/>
      <c r="DPY90" s="220"/>
      <c r="DPZ90" s="221"/>
      <c r="DQA90" s="222"/>
      <c r="DQB90" s="222"/>
      <c r="DQC90" s="223"/>
      <c r="DQD90" s="223"/>
      <c r="DQE90" s="224"/>
      <c r="DQF90" s="223"/>
      <c r="DQG90" s="223"/>
      <c r="DQH90" s="223"/>
      <c r="DQI90" s="223"/>
      <c r="DQJ90" s="225"/>
      <c r="DQK90" s="220"/>
      <c r="DQL90" s="221"/>
      <c r="DQM90" s="222"/>
      <c r="DQN90" s="222"/>
      <c r="DQO90" s="223"/>
      <c r="DQP90" s="223"/>
      <c r="DQQ90" s="224"/>
      <c r="DQR90" s="223"/>
      <c r="DQS90" s="223"/>
      <c r="DQT90" s="223"/>
      <c r="DQU90" s="223"/>
      <c r="DQV90" s="225"/>
      <c r="DQW90" s="220"/>
      <c r="DQX90" s="221"/>
      <c r="DQY90" s="222"/>
      <c r="DQZ90" s="222"/>
      <c r="DRA90" s="223"/>
      <c r="DRB90" s="223"/>
      <c r="DRC90" s="224"/>
      <c r="DRD90" s="223"/>
      <c r="DRE90" s="223"/>
      <c r="DRF90" s="223"/>
      <c r="DRG90" s="223"/>
      <c r="DRH90" s="225"/>
      <c r="DRI90" s="220"/>
      <c r="DRJ90" s="221"/>
      <c r="DRK90" s="222"/>
      <c r="DRL90" s="222"/>
      <c r="DRM90" s="223"/>
      <c r="DRN90" s="223"/>
      <c r="DRO90" s="224"/>
      <c r="DRP90" s="223"/>
      <c r="DRQ90" s="223"/>
      <c r="DRR90" s="223"/>
      <c r="DRS90" s="223"/>
      <c r="DRT90" s="225"/>
      <c r="DRU90" s="220"/>
      <c r="DRV90" s="221"/>
      <c r="DRW90" s="222"/>
      <c r="DRX90" s="222"/>
      <c r="DRY90" s="223"/>
      <c r="DRZ90" s="223"/>
      <c r="DSA90" s="224"/>
      <c r="DSB90" s="223"/>
      <c r="DSC90" s="223"/>
      <c r="DSD90" s="223"/>
      <c r="DSE90" s="223"/>
      <c r="DSF90" s="225"/>
      <c r="DSG90" s="220"/>
      <c r="DSH90" s="221"/>
      <c r="DSI90" s="222"/>
      <c r="DSJ90" s="222"/>
      <c r="DSK90" s="223"/>
      <c r="DSL90" s="223"/>
      <c r="DSM90" s="224"/>
      <c r="DSN90" s="223"/>
      <c r="DSO90" s="223"/>
      <c r="DSP90" s="223"/>
      <c r="DSQ90" s="223"/>
      <c r="DSR90" s="225"/>
      <c r="DSS90" s="220"/>
      <c r="DST90" s="221"/>
      <c r="DSU90" s="222"/>
      <c r="DSV90" s="222"/>
      <c r="DSW90" s="223"/>
      <c r="DSX90" s="223"/>
      <c r="DSY90" s="224"/>
      <c r="DSZ90" s="223"/>
      <c r="DTA90" s="223"/>
      <c r="DTB90" s="223"/>
      <c r="DTC90" s="223"/>
      <c r="DTD90" s="225"/>
      <c r="DTE90" s="220"/>
      <c r="DTF90" s="221"/>
      <c r="DTG90" s="222"/>
      <c r="DTH90" s="222"/>
      <c r="DTI90" s="223"/>
      <c r="DTJ90" s="223"/>
      <c r="DTK90" s="224"/>
      <c r="DTL90" s="223"/>
      <c r="DTM90" s="223"/>
      <c r="DTN90" s="223"/>
      <c r="DTO90" s="223"/>
      <c r="DTP90" s="225"/>
      <c r="DTQ90" s="220"/>
      <c r="DTR90" s="221"/>
      <c r="DTS90" s="222"/>
      <c r="DTT90" s="222"/>
      <c r="DTU90" s="223"/>
      <c r="DTV90" s="223"/>
      <c r="DTW90" s="224"/>
      <c r="DTX90" s="223"/>
      <c r="DTY90" s="223"/>
      <c r="DTZ90" s="223"/>
      <c r="DUA90" s="223"/>
      <c r="DUB90" s="225"/>
      <c r="DUC90" s="220"/>
      <c r="DUD90" s="221"/>
      <c r="DUE90" s="222"/>
      <c r="DUF90" s="222"/>
      <c r="DUG90" s="223"/>
      <c r="DUH90" s="223"/>
      <c r="DUI90" s="224"/>
      <c r="DUJ90" s="223"/>
      <c r="DUK90" s="223"/>
      <c r="DUL90" s="223"/>
      <c r="DUM90" s="223"/>
      <c r="DUN90" s="225"/>
      <c r="DUO90" s="220"/>
      <c r="DUP90" s="221"/>
      <c r="DUQ90" s="222"/>
      <c r="DUR90" s="222"/>
      <c r="DUS90" s="223"/>
      <c r="DUT90" s="223"/>
      <c r="DUU90" s="224"/>
      <c r="DUV90" s="223"/>
      <c r="DUW90" s="223"/>
      <c r="DUX90" s="223"/>
      <c r="DUY90" s="223"/>
      <c r="DUZ90" s="225"/>
      <c r="DVA90" s="220"/>
      <c r="DVB90" s="221"/>
      <c r="DVC90" s="222"/>
      <c r="DVD90" s="222"/>
      <c r="DVE90" s="223"/>
      <c r="DVF90" s="223"/>
      <c r="DVG90" s="224"/>
      <c r="DVH90" s="223"/>
      <c r="DVI90" s="223"/>
      <c r="DVJ90" s="223"/>
      <c r="DVK90" s="223"/>
      <c r="DVL90" s="225"/>
      <c r="DVM90" s="220"/>
      <c r="DVN90" s="221"/>
      <c r="DVO90" s="222"/>
      <c r="DVP90" s="222"/>
      <c r="DVQ90" s="223"/>
      <c r="DVR90" s="223"/>
      <c r="DVS90" s="224"/>
      <c r="DVT90" s="223"/>
      <c r="DVU90" s="223"/>
      <c r="DVV90" s="223"/>
      <c r="DVW90" s="223"/>
      <c r="DVX90" s="225"/>
      <c r="DVY90" s="220"/>
      <c r="DVZ90" s="221"/>
      <c r="DWA90" s="222"/>
      <c r="DWB90" s="222"/>
      <c r="DWC90" s="223"/>
      <c r="DWD90" s="223"/>
      <c r="DWE90" s="224"/>
      <c r="DWF90" s="223"/>
      <c r="DWG90" s="223"/>
      <c r="DWH90" s="223"/>
      <c r="DWI90" s="223"/>
      <c r="DWJ90" s="225"/>
      <c r="DWK90" s="220"/>
      <c r="DWL90" s="221"/>
      <c r="DWM90" s="222"/>
      <c r="DWN90" s="222"/>
      <c r="DWO90" s="223"/>
      <c r="DWP90" s="223"/>
      <c r="DWQ90" s="224"/>
      <c r="DWR90" s="223"/>
      <c r="DWS90" s="223"/>
      <c r="DWT90" s="223"/>
      <c r="DWU90" s="223"/>
      <c r="DWV90" s="225"/>
      <c r="DWW90" s="220"/>
      <c r="DWX90" s="221"/>
      <c r="DWY90" s="222"/>
      <c r="DWZ90" s="222"/>
      <c r="DXA90" s="223"/>
      <c r="DXB90" s="223"/>
      <c r="DXC90" s="224"/>
      <c r="DXD90" s="223"/>
      <c r="DXE90" s="223"/>
      <c r="DXF90" s="223"/>
      <c r="DXG90" s="223"/>
      <c r="DXH90" s="225"/>
      <c r="DXI90" s="220"/>
      <c r="DXJ90" s="221"/>
      <c r="DXK90" s="222"/>
      <c r="DXL90" s="222"/>
      <c r="DXM90" s="223"/>
      <c r="DXN90" s="223"/>
      <c r="DXO90" s="224"/>
      <c r="DXP90" s="223"/>
      <c r="DXQ90" s="223"/>
      <c r="DXR90" s="223"/>
      <c r="DXS90" s="223"/>
      <c r="DXT90" s="225"/>
      <c r="DXU90" s="220"/>
      <c r="DXV90" s="221"/>
      <c r="DXW90" s="222"/>
      <c r="DXX90" s="222"/>
      <c r="DXY90" s="223"/>
      <c r="DXZ90" s="223"/>
      <c r="DYA90" s="224"/>
      <c r="DYB90" s="223"/>
      <c r="DYC90" s="223"/>
      <c r="DYD90" s="223"/>
      <c r="DYE90" s="223"/>
      <c r="DYF90" s="225"/>
      <c r="DYG90" s="220"/>
      <c r="DYH90" s="221"/>
      <c r="DYI90" s="222"/>
      <c r="DYJ90" s="222"/>
      <c r="DYK90" s="223"/>
      <c r="DYL90" s="223"/>
      <c r="DYM90" s="224"/>
      <c r="DYN90" s="223"/>
      <c r="DYO90" s="223"/>
      <c r="DYP90" s="223"/>
      <c r="DYQ90" s="223"/>
      <c r="DYR90" s="225"/>
      <c r="DYS90" s="220"/>
      <c r="DYT90" s="221"/>
      <c r="DYU90" s="222"/>
      <c r="DYV90" s="222"/>
      <c r="DYW90" s="223"/>
      <c r="DYX90" s="223"/>
      <c r="DYY90" s="224"/>
      <c r="DYZ90" s="223"/>
      <c r="DZA90" s="223"/>
      <c r="DZB90" s="223"/>
      <c r="DZC90" s="223"/>
      <c r="DZD90" s="225"/>
      <c r="DZE90" s="220"/>
      <c r="DZF90" s="221"/>
      <c r="DZG90" s="222"/>
      <c r="DZH90" s="222"/>
      <c r="DZI90" s="223"/>
      <c r="DZJ90" s="223"/>
      <c r="DZK90" s="224"/>
      <c r="DZL90" s="223"/>
      <c r="DZM90" s="223"/>
      <c r="DZN90" s="223"/>
      <c r="DZO90" s="223"/>
      <c r="DZP90" s="225"/>
      <c r="DZQ90" s="220"/>
      <c r="DZR90" s="221"/>
      <c r="DZS90" s="222"/>
      <c r="DZT90" s="222"/>
      <c r="DZU90" s="223"/>
      <c r="DZV90" s="223"/>
      <c r="DZW90" s="224"/>
      <c r="DZX90" s="223"/>
      <c r="DZY90" s="223"/>
      <c r="DZZ90" s="223"/>
      <c r="EAA90" s="223"/>
      <c r="EAB90" s="225"/>
      <c r="EAC90" s="220"/>
      <c r="EAD90" s="221"/>
      <c r="EAE90" s="222"/>
      <c r="EAF90" s="222"/>
      <c r="EAG90" s="223"/>
      <c r="EAH90" s="223"/>
      <c r="EAI90" s="224"/>
      <c r="EAJ90" s="223"/>
      <c r="EAK90" s="223"/>
      <c r="EAL90" s="223"/>
      <c r="EAM90" s="223"/>
      <c r="EAN90" s="225"/>
      <c r="EAO90" s="220"/>
      <c r="EAP90" s="221"/>
      <c r="EAQ90" s="222"/>
      <c r="EAR90" s="222"/>
      <c r="EAS90" s="223"/>
      <c r="EAT90" s="223"/>
      <c r="EAU90" s="224"/>
      <c r="EAV90" s="223"/>
      <c r="EAW90" s="223"/>
      <c r="EAX90" s="223"/>
      <c r="EAY90" s="223"/>
      <c r="EAZ90" s="225"/>
      <c r="EBA90" s="220"/>
      <c r="EBB90" s="221"/>
      <c r="EBC90" s="222"/>
      <c r="EBD90" s="222"/>
      <c r="EBE90" s="223"/>
      <c r="EBF90" s="223"/>
      <c r="EBG90" s="224"/>
      <c r="EBH90" s="223"/>
      <c r="EBI90" s="223"/>
      <c r="EBJ90" s="223"/>
      <c r="EBK90" s="223"/>
      <c r="EBL90" s="225"/>
      <c r="EBM90" s="220"/>
      <c r="EBN90" s="221"/>
      <c r="EBO90" s="222"/>
      <c r="EBP90" s="222"/>
      <c r="EBQ90" s="223"/>
      <c r="EBR90" s="223"/>
      <c r="EBS90" s="224"/>
      <c r="EBT90" s="223"/>
      <c r="EBU90" s="223"/>
      <c r="EBV90" s="223"/>
      <c r="EBW90" s="223"/>
      <c r="EBX90" s="225"/>
      <c r="EBY90" s="220"/>
      <c r="EBZ90" s="221"/>
      <c r="ECA90" s="222"/>
      <c r="ECB90" s="222"/>
      <c r="ECC90" s="223"/>
      <c r="ECD90" s="223"/>
      <c r="ECE90" s="224"/>
      <c r="ECF90" s="223"/>
      <c r="ECG90" s="223"/>
      <c r="ECH90" s="223"/>
      <c r="ECI90" s="223"/>
      <c r="ECJ90" s="225"/>
      <c r="ECK90" s="220"/>
      <c r="ECL90" s="221"/>
      <c r="ECM90" s="222"/>
      <c r="ECN90" s="222"/>
      <c r="ECO90" s="223"/>
      <c r="ECP90" s="223"/>
      <c r="ECQ90" s="224"/>
      <c r="ECR90" s="223"/>
      <c r="ECS90" s="223"/>
      <c r="ECT90" s="223"/>
      <c r="ECU90" s="223"/>
      <c r="ECV90" s="225"/>
      <c r="ECW90" s="220"/>
      <c r="ECX90" s="221"/>
      <c r="ECY90" s="222"/>
      <c r="ECZ90" s="222"/>
      <c r="EDA90" s="223"/>
      <c r="EDB90" s="223"/>
      <c r="EDC90" s="224"/>
      <c r="EDD90" s="223"/>
      <c r="EDE90" s="223"/>
      <c r="EDF90" s="223"/>
      <c r="EDG90" s="223"/>
      <c r="EDH90" s="225"/>
      <c r="EDI90" s="220"/>
      <c r="EDJ90" s="221"/>
      <c r="EDK90" s="222"/>
      <c r="EDL90" s="222"/>
      <c r="EDM90" s="223"/>
      <c r="EDN90" s="223"/>
      <c r="EDO90" s="224"/>
      <c r="EDP90" s="223"/>
      <c r="EDQ90" s="223"/>
      <c r="EDR90" s="223"/>
      <c r="EDS90" s="223"/>
      <c r="EDT90" s="225"/>
      <c r="EDU90" s="220"/>
      <c r="EDV90" s="221"/>
      <c r="EDW90" s="222"/>
      <c r="EDX90" s="222"/>
      <c r="EDY90" s="223"/>
      <c r="EDZ90" s="223"/>
      <c r="EEA90" s="224"/>
      <c r="EEB90" s="223"/>
      <c r="EEC90" s="223"/>
      <c r="EED90" s="223"/>
      <c r="EEE90" s="223"/>
      <c r="EEF90" s="225"/>
      <c r="EEG90" s="220"/>
      <c r="EEH90" s="221"/>
      <c r="EEI90" s="222"/>
      <c r="EEJ90" s="222"/>
      <c r="EEK90" s="223"/>
      <c r="EEL90" s="223"/>
      <c r="EEM90" s="224"/>
      <c r="EEN90" s="223"/>
      <c r="EEO90" s="223"/>
      <c r="EEP90" s="223"/>
      <c r="EEQ90" s="223"/>
      <c r="EER90" s="225"/>
      <c r="EES90" s="220"/>
      <c r="EET90" s="221"/>
      <c r="EEU90" s="222"/>
      <c r="EEV90" s="222"/>
      <c r="EEW90" s="223"/>
      <c r="EEX90" s="223"/>
      <c r="EEY90" s="224"/>
      <c r="EEZ90" s="223"/>
      <c r="EFA90" s="223"/>
      <c r="EFB90" s="223"/>
      <c r="EFC90" s="223"/>
      <c r="EFD90" s="225"/>
      <c r="EFE90" s="220"/>
      <c r="EFF90" s="221"/>
      <c r="EFG90" s="222"/>
      <c r="EFH90" s="222"/>
      <c r="EFI90" s="223"/>
      <c r="EFJ90" s="223"/>
      <c r="EFK90" s="224"/>
      <c r="EFL90" s="223"/>
      <c r="EFM90" s="223"/>
      <c r="EFN90" s="223"/>
      <c r="EFO90" s="223"/>
      <c r="EFP90" s="225"/>
      <c r="EFQ90" s="220"/>
      <c r="EFR90" s="221"/>
      <c r="EFS90" s="222"/>
      <c r="EFT90" s="222"/>
      <c r="EFU90" s="223"/>
      <c r="EFV90" s="223"/>
      <c r="EFW90" s="224"/>
      <c r="EFX90" s="223"/>
      <c r="EFY90" s="223"/>
      <c r="EFZ90" s="223"/>
      <c r="EGA90" s="223"/>
      <c r="EGB90" s="225"/>
      <c r="EGC90" s="220"/>
      <c r="EGD90" s="221"/>
      <c r="EGE90" s="222"/>
      <c r="EGF90" s="222"/>
      <c r="EGG90" s="223"/>
      <c r="EGH90" s="223"/>
      <c r="EGI90" s="224"/>
      <c r="EGJ90" s="223"/>
      <c r="EGK90" s="223"/>
      <c r="EGL90" s="223"/>
      <c r="EGM90" s="223"/>
      <c r="EGN90" s="225"/>
      <c r="EGO90" s="220"/>
      <c r="EGP90" s="221"/>
      <c r="EGQ90" s="222"/>
      <c r="EGR90" s="222"/>
      <c r="EGS90" s="223"/>
      <c r="EGT90" s="223"/>
      <c r="EGU90" s="224"/>
      <c r="EGV90" s="223"/>
      <c r="EGW90" s="223"/>
      <c r="EGX90" s="223"/>
      <c r="EGY90" s="223"/>
      <c r="EGZ90" s="225"/>
      <c r="EHA90" s="220"/>
      <c r="EHB90" s="221"/>
      <c r="EHC90" s="222"/>
      <c r="EHD90" s="222"/>
      <c r="EHE90" s="223"/>
      <c r="EHF90" s="223"/>
      <c r="EHG90" s="224"/>
      <c r="EHH90" s="223"/>
      <c r="EHI90" s="223"/>
      <c r="EHJ90" s="223"/>
      <c r="EHK90" s="223"/>
      <c r="EHL90" s="225"/>
      <c r="EHM90" s="220"/>
      <c r="EHN90" s="221"/>
      <c r="EHO90" s="222"/>
      <c r="EHP90" s="222"/>
      <c r="EHQ90" s="223"/>
      <c r="EHR90" s="223"/>
      <c r="EHS90" s="224"/>
      <c r="EHT90" s="223"/>
      <c r="EHU90" s="223"/>
      <c r="EHV90" s="223"/>
      <c r="EHW90" s="223"/>
      <c r="EHX90" s="225"/>
      <c r="EHY90" s="220"/>
      <c r="EHZ90" s="221"/>
      <c r="EIA90" s="222"/>
      <c r="EIB90" s="222"/>
      <c r="EIC90" s="223"/>
      <c r="EID90" s="223"/>
      <c r="EIE90" s="224"/>
      <c r="EIF90" s="223"/>
      <c r="EIG90" s="223"/>
      <c r="EIH90" s="223"/>
      <c r="EII90" s="223"/>
      <c r="EIJ90" s="225"/>
      <c r="EIK90" s="220"/>
      <c r="EIL90" s="221"/>
      <c r="EIM90" s="222"/>
      <c r="EIN90" s="222"/>
      <c r="EIO90" s="223"/>
      <c r="EIP90" s="223"/>
      <c r="EIQ90" s="224"/>
      <c r="EIR90" s="223"/>
      <c r="EIS90" s="223"/>
      <c r="EIT90" s="223"/>
      <c r="EIU90" s="223"/>
      <c r="EIV90" s="225"/>
      <c r="EIW90" s="220"/>
      <c r="EIX90" s="221"/>
      <c r="EIY90" s="222"/>
      <c r="EIZ90" s="222"/>
      <c r="EJA90" s="223"/>
      <c r="EJB90" s="223"/>
      <c r="EJC90" s="224"/>
      <c r="EJD90" s="223"/>
      <c r="EJE90" s="223"/>
      <c r="EJF90" s="223"/>
      <c r="EJG90" s="223"/>
      <c r="EJH90" s="225"/>
      <c r="EJI90" s="220"/>
      <c r="EJJ90" s="221"/>
      <c r="EJK90" s="222"/>
      <c r="EJL90" s="222"/>
      <c r="EJM90" s="223"/>
      <c r="EJN90" s="223"/>
      <c r="EJO90" s="224"/>
      <c r="EJP90" s="223"/>
      <c r="EJQ90" s="223"/>
      <c r="EJR90" s="223"/>
      <c r="EJS90" s="223"/>
      <c r="EJT90" s="225"/>
      <c r="EJU90" s="220"/>
      <c r="EJV90" s="221"/>
      <c r="EJW90" s="222"/>
      <c r="EJX90" s="222"/>
      <c r="EJY90" s="223"/>
      <c r="EJZ90" s="223"/>
      <c r="EKA90" s="224"/>
      <c r="EKB90" s="223"/>
      <c r="EKC90" s="223"/>
      <c r="EKD90" s="223"/>
      <c r="EKE90" s="223"/>
      <c r="EKF90" s="225"/>
      <c r="EKG90" s="220"/>
      <c r="EKH90" s="221"/>
      <c r="EKI90" s="222"/>
      <c r="EKJ90" s="222"/>
      <c r="EKK90" s="223"/>
      <c r="EKL90" s="223"/>
      <c r="EKM90" s="224"/>
      <c r="EKN90" s="223"/>
      <c r="EKO90" s="223"/>
      <c r="EKP90" s="223"/>
      <c r="EKQ90" s="223"/>
      <c r="EKR90" s="225"/>
      <c r="EKS90" s="220"/>
      <c r="EKT90" s="221"/>
      <c r="EKU90" s="222"/>
      <c r="EKV90" s="222"/>
      <c r="EKW90" s="223"/>
      <c r="EKX90" s="223"/>
      <c r="EKY90" s="224"/>
      <c r="EKZ90" s="223"/>
      <c r="ELA90" s="223"/>
      <c r="ELB90" s="223"/>
      <c r="ELC90" s="223"/>
      <c r="ELD90" s="225"/>
      <c r="ELE90" s="220"/>
      <c r="ELF90" s="221"/>
      <c r="ELG90" s="222"/>
      <c r="ELH90" s="222"/>
      <c r="ELI90" s="223"/>
      <c r="ELJ90" s="223"/>
      <c r="ELK90" s="224"/>
      <c r="ELL90" s="223"/>
      <c r="ELM90" s="223"/>
      <c r="ELN90" s="223"/>
      <c r="ELO90" s="223"/>
      <c r="ELP90" s="225"/>
      <c r="ELQ90" s="220"/>
      <c r="ELR90" s="221"/>
      <c r="ELS90" s="222"/>
      <c r="ELT90" s="222"/>
      <c r="ELU90" s="223"/>
      <c r="ELV90" s="223"/>
      <c r="ELW90" s="224"/>
      <c r="ELX90" s="223"/>
      <c r="ELY90" s="223"/>
      <c r="ELZ90" s="223"/>
      <c r="EMA90" s="223"/>
      <c r="EMB90" s="225"/>
      <c r="EMC90" s="220"/>
      <c r="EMD90" s="221"/>
      <c r="EME90" s="222"/>
      <c r="EMF90" s="222"/>
      <c r="EMG90" s="223"/>
      <c r="EMH90" s="223"/>
      <c r="EMI90" s="224"/>
      <c r="EMJ90" s="223"/>
      <c r="EMK90" s="223"/>
      <c r="EML90" s="223"/>
      <c r="EMM90" s="223"/>
      <c r="EMN90" s="225"/>
      <c r="EMO90" s="220"/>
      <c r="EMP90" s="221"/>
      <c r="EMQ90" s="222"/>
      <c r="EMR90" s="222"/>
      <c r="EMS90" s="223"/>
      <c r="EMT90" s="223"/>
      <c r="EMU90" s="224"/>
      <c r="EMV90" s="223"/>
      <c r="EMW90" s="223"/>
      <c r="EMX90" s="223"/>
      <c r="EMY90" s="223"/>
      <c r="EMZ90" s="225"/>
      <c r="ENA90" s="220"/>
      <c r="ENB90" s="221"/>
      <c r="ENC90" s="222"/>
      <c r="END90" s="222"/>
      <c r="ENE90" s="223"/>
      <c r="ENF90" s="223"/>
      <c r="ENG90" s="224"/>
      <c r="ENH90" s="223"/>
      <c r="ENI90" s="223"/>
      <c r="ENJ90" s="223"/>
      <c r="ENK90" s="223"/>
      <c r="ENL90" s="225"/>
      <c r="ENM90" s="220"/>
      <c r="ENN90" s="221"/>
      <c r="ENO90" s="222"/>
      <c r="ENP90" s="222"/>
      <c r="ENQ90" s="223"/>
      <c r="ENR90" s="223"/>
      <c r="ENS90" s="224"/>
      <c r="ENT90" s="223"/>
      <c r="ENU90" s="223"/>
      <c r="ENV90" s="223"/>
      <c r="ENW90" s="223"/>
      <c r="ENX90" s="225"/>
      <c r="ENY90" s="220"/>
      <c r="ENZ90" s="221"/>
      <c r="EOA90" s="222"/>
      <c r="EOB90" s="222"/>
      <c r="EOC90" s="223"/>
      <c r="EOD90" s="223"/>
      <c r="EOE90" s="224"/>
      <c r="EOF90" s="223"/>
      <c r="EOG90" s="223"/>
      <c r="EOH90" s="223"/>
      <c r="EOI90" s="223"/>
      <c r="EOJ90" s="225"/>
      <c r="EOK90" s="220"/>
      <c r="EOL90" s="221"/>
      <c r="EOM90" s="222"/>
      <c r="EON90" s="222"/>
      <c r="EOO90" s="223"/>
      <c r="EOP90" s="223"/>
      <c r="EOQ90" s="224"/>
      <c r="EOR90" s="223"/>
      <c r="EOS90" s="223"/>
      <c r="EOT90" s="223"/>
      <c r="EOU90" s="223"/>
      <c r="EOV90" s="225"/>
      <c r="EOW90" s="220"/>
      <c r="EOX90" s="221"/>
      <c r="EOY90" s="222"/>
      <c r="EOZ90" s="222"/>
      <c r="EPA90" s="223"/>
      <c r="EPB90" s="223"/>
      <c r="EPC90" s="224"/>
      <c r="EPD90" s="223"/>
      <c r="EPE90" s="223"/>
      <c r="EPF90" s="223"/>
      <c r="EPG90" s="223"/>
      <c r="EPH90" s="225"/>
      <c r="EPI90" s="220"/>
      <c r="EPJ90" s="221"/>
      <c r="EPK90" s="222"/>
      <c r="EPL90" s="222"/>
      <c r="EPM90" s="223"/>
      <c r="EPN90" s="223"/>
      <c r="EPO90" s="224"/>
      <c r="EPP90" s="223"/>
      <c r="EPQ90" s="223"/>
      <c r="EPR90" s="223"/>
      <c r="EPS90" s="223"/>
      <c r="EPT90" s="225"/>
      <c r="EPU90" s="220"/>
      <c r="EPV90" s="221"/>
      <c r="EPW90" s="222"/>
      <c r="EPX90" s="222"/>
      <c r="EPY90" s="223"/>
      <c r="EPZ90" s="223"/>
      <c r="EQA90" s="224"/>
      <c r="EQB90" s="223"/>
      <c r="EQC90" s="223"/>
      <c r="EQD90" s="223"/>
      <c r="EQE90" s="223"/>
      <c r="EQF90" s="225"/>
      <c r="EQG90" s="220"/>
      <c r="EQH90" s="221"/>
      <c r="EQI90" s="222"/>
      <c r="EQJ90" s="222"/>
      <c r="EQK90" s="223"/>
      <c r="EQL90" s="223"/>
      <c r="EQM90" s="224"/>
      <c r="EQN90" s="223"/>
      <c r="EQO90" s="223"/>
      <c r="EQP90" s="223"/>
      <c r="EQQ90" s="223"/>
      <c r="EQR90" s="225"/>
      <c r="EQS90" s="220"/>
      <c r="EQT90" s="221"/>
      <c r="EQU90" s="222"/>
      <c r="EQV90" s="222"/>
      <c r="EQW90" s="223"/>
      <c r="EQX90" s="223"/>
      <c r="EQY90" s="224"/>
      <c r="EQZ90" s="223"/>
      <c r="ERA90" s="223"/>
      <c r="ERB90" s="223"/>
      <c r="ERC90" s="223"/>
      <c r="ERD90" s="225"/>
      <c r="ERE90" s="220"/>
      <c r="ERF90" s="221"/>
      <c r="ERG90" s="222"/>
      <c r="ERH90" s="222"/>
      <c r="ERI90" s="223"/>
      <c r="ERJ90" s="223"/>
      <c r="ERK90" s="224"/>
      <c r="ERL90" s="223"/>
      <c r="ERM90" s="223"/>
      <c r="ERN90" s="223"/>
      <c r="ERO90" s="223"/>
      <c r="ERP90" s="225"/>
      <c r="ERQ90" s="220"/>
      <c r="ERR90" s="221"/>
      <c r="ERS90" s="222"/>
      <c r="ERT90" s="222"/>
      <c r="ERU90" s="223"/>
      <c r="ERV90" s="223"/>
      <c r="ERW90" s="224"/>
      <c r="ERX90" s="223"/>
      <c r="ERY90" s="223"/>
      <c r="ERZ90" s="223"/>
      <c r="ESA90" s="223"/>
      <c r="ESB90" s="225"/>
      <c r="ESC90" s="220"/>
      <c r="ESD90" s="221"/>
      <c r="ESE90" s="222"/>
      <c r="ESF90" s="222"/>
      <c r="ESG90" s="223"/>
      <c r="ESH90" s="223"/>
      <c r="ESI90" s="224"/>
      <c r="ESJ90" s="223"/>
      <c r="ESK90" s="223"/>
      <c r="ESL90" s="223"/>
      <c r="ESM90" s="223"/>
      <c r="ESN90" s="225"/>
      <c r="ESO90" s="220"/>
      <c r="ESP90" s="221"/>
      <c r="ESQ90" s="222"/>
      <c r="ESR90" s="222"/>
      <c r="ESS90" s="223"/>
      <c r="EST90" s="223"/>
      <c r="ESU90" s="224"/>
      <c r="ESV90" s="223"/>
      <c r="ESW90" s="223"/>
      <c r="ESX90" s="223"/>
      <c r="ESY90" s="223"/>
      <c r="ESZ90" s="225"/>
      <c r="ETA90" s="220"/>
      <c r="ETB90" s="221"/>
      <c r="ETC90" s="222"/>
      <c r="ETD90" s="222"/>
      <c r="ETE90" s="223"/>
      <c r="ETF90" s="223"/>
      <c r="ETG90" s="224"/>
      <c r="ETH90" s="223"/>
      <c r="ETI90" s="223"/>
      <c r="ETJ90" s="223"/>
      <c r="ETK90" s="223"/>
      <c r="ETL90" s="225"/>
      <c r="ETM90" s="220"/>
      <c r="ETN90" s="221"/>
      <c r="ETO90" s="222"/>
      <c r="ETP90" s="222"/>
      <c r="ETQ90" s="223"/>
      <c r="ETR90" s="223"/>
      <c r="ETS90" s="224"/>
      <c r="ETT90" s="223"/>
      <c r="ETU90" s="223"/>
      <c r="ETV90" s="223"/>
      <c r="ETW90" s="223"/>
      <c r="ETX90" s="225"/>
      <c r="ETY90" s="220"/>
      <c r="ETZ90" s="221"/>
      <c r="EUA90" s="222"/>
      <c r="EUB90" s="222"/>
      <c r="EUC90" s="223"/>
      <c r="EUD90" s="223"/>
      <c r="EUE90" s="224"/>
      <c r="EUF90" s="223"/>
      <c r="EUG90" s="223"/>
      <c r="EUH90" s="223"/>
      <c r="EUI90" s="223"/>
      <c r="EUJ90" s="225"/>
      <c r="EUK90" s="220"/>
      <c r="EUL90" s="221"/>
      <c r="EUM90" s="222"/>
      <c r="EUN90" s="222"/>
      <c r="EUO90" s="223"/>
      <c r="EUP90" s="223"/>
      <c r="EUQ90" s="224"/>
      <c r="EUR90" s="223"/>
      <c r="EUS90" s="223"/>
      <c r="EUT90" s="223"/>
      <c r="EUU90" s="223"/>
      <c r="EUV90" s="225"/>
      <c r="EUW90" s="220"/>
      <c r="EUX90" s="221"/>
      <c r="EUY90" s="222"/>
      <c r="EUZ90" s="222"/>
      <c r="EVA90" s="223"/>
      <c r="EVB90" s="223"/>
      <c r="EVC90" s="224"/>
      <c r="EVD90" s="223"/>
      <c r="EVE90" s="223"/>
      <c r="EVF90" s="223"/>
      <c r="EVG90" s="223"/>
      <c r="EVH90" s="225"/>
      <c r="EVI90" s="220"/>
      <c r="EVJ90" s="221"/>
      <c r="EVK90" s="222"/>
      <c r="EVL90" s="222"/>
      <c r="EVM90" s="223"/>
      <c r="EVN90" s="223"/>
      <c r="EVO90" s="224"/>
      <c r="EVP90" s="223"/>
      <c r="EVQ90" s="223"/>
      <c r="EVR90" s="223"/>
      <c r="EVS90" s="223"/>
      <c r="EVT90" s="225"/>
      <c r="EVU90" s="220"/>
      <c r="EVV90" s="221"/>
      <c r="EVW90" s="222"/>
      <c r="EVX90" s="222"/>
      <c r="EVY90" s="223"/>
      <c r="EVZ90" s="223"/>
      <c r="EWA90" s="224"/>
      <c r="EWB90" s="223"/>
      <c r="EWC90" s="223"/>
      <c r="EWD90" s="223"/>
      <c r="EWE90" s="223"/>
      <c r="EWF90" s="225"/>
      <c r="EWG90" s="220"/>
      <c r="EWH90" s="221"/>
      <c r="EWI90" s="222"/>
      <c r="EWJ90" s="222"/>
      <c r="EWK90" s="223"/>
      <c r="EWL90" s="223"/>
      <c r="EWM90" s="224"/>
      <c r="EWN90" s="223"/>
      <c r="EWO90" s="223"/>
      <c r="EWP90" s="223"/>
      <c r="EWQ90" s="223"/>
      <c r="EWR90" s="225"/>
      <c r="EWS90" s="220"/>
      <c r="EWT90" s="221"/>
      <c r="EWU90" s="222"/>
      <c r="EWV90" s="222"/>
      <c r="EWW90" s="223"/>
      <c r="EWX90" s="223"/>
      <c r="EWY90" s="224"/>
      <c r="EWZ90" s="223"/>
      <c r="EXA90" s="223"/>
      <c r="EXB90" s="223"/>
      <c r="EXC90" s="223"/>
      <c r="EXD90" s="225"/>
      <c r="EXE90" s="220"/>
      <c r="EXF90" s="221"/>
      <c r="EXG90" s="222"/>
      <c r="EXH90" s="222"/>
      <c r="EXI90" s="223"/>
      <c r="EXJ90" s="223"/>
      <c r="EXK90" s="224"/>
      <c r="EXL90" s="223"/>
      <c r="EXM90" s="223"/>
      <c r="EXN90" s="223"/>
      <c r="EXO90" s="223"/>
      <c r="EXP90" s="225"/>
      <c r="EXQ90" s="220"/>
      <c r="EXR90" s="221"/>
      <c r="EXS90" s="222"/>
      <c r="EXT90" s="222"/>
      <c r="EXU90" s="223"/>
      <c r="EXV90" s="223"/>
      <c r="EXW90" s="224"/>
      <c r="EXX90" s="223"/>
      <c r="EXY90" s="223"/>
      <c r="EXZ90" s="223"/>
      <c r="EYA90" s="223"/>
      <c r="EYB90" s="225"/>
      <c r="EYC90" s="220"/>
      <c r="EYD90" s="221"/>
      <c r="EYE90" s="222"/>
      <c r="EYF90" s="222"/>
      <c r="EYG90" s="223"/>
      <c r="EYH90" s="223"/>
      <c r="EYI90" s="224"/>
      <c r="EYJ90" s="223"/>
      <c r="EYK90" s="223"/>
      <c r="EYL90" s="223"/>
      <c r="EYM90" s="223"/>
      <c r="EYN90" s="225"/>
      <c r="EYO90" s="220"/>
      <c r="EYP90" s="221"/>
      <c r="EYQ90" s="222"/>
      <c r="EYR90" s="222"/>
      <c r="EYS90" s="223"/>
      <c r="EYT90" s="223"/>
      <c r="EYU90" s="224"/>
      <c r="EYV90" s="223"/>
      <c r="EYW90" s="223"/>
      <c r="EYX90" s="223"/>
      <c r="EYY90" s="223"/>
      <c r="EYZ90" s="225"/>
      <c r="EZA90" s="220"/>
      <c r="EZB90" s="221"/>
      <c r="EZC90" s="222"/>
      <c r="EZD90" s="222"/>
      <c r="EZE90" s="223"/>
      <c r="EZF90" s="223"/>
      <c r="EZG90" s="224"/>
      <c r="EZH90" s="223"/>
      <c r="EZI90" s="223"/>
      <c r="EZJ90" s="223"/>
      <c r="EZK90" s="223"/>
      <c r="EZL90" s="225"/>
      <c r="EZM90" s="220"/>
      <c r="EZN90" s="221"/>
      <c r="EZO90" s="222"/>
      <c r="EZP90" s="222"/>
      <c r="EZQ90" s="223"/>
      <c r="EZR90" s="223"/>
      <c r="EZS90" s="224"/>
      <c r="EZT90" s="223"/>
      <c r="EZU90" s="223"/>
      <c r="EZV90" s="223"/>
      <c r="EZW90" s="223"/>
      <c r="EZX90" s="225"/>
      <c r="EZY90" s="220"/>
      <c r="EZZ90" s="221"/>
      <c r="FAA90" s="222"/>
      <c r="FAB90" s="222"/>
      <c r="FAC90" s="223"/>
      <c r="FAD90" s="223"/>
      <c r="FAE90" s="224"/>
      <c r="FAF90" s="223"/>
      <c r="FAG90" s="223"/>
      <c r="FAH90" s="223"/>
      <c r="FAI90" s="223"/>
      <c r="FAJ90" s="225"/>
      <c r="FAK90" s="220"/>
      <c r="FAL90" s="221"/>
      <c r="FAM90" s="222"/>
      <c r="FAN90" s="222"/>
      <c r="FAO90" s="223"/>
      <c r="FAP90" s="223"/>
      <c r="FAQ90" s="224"/>
      <c r="FAR90" s="223"/>
      <c r="FAS90" s="223"/>
      <c r="FAT90" s="223"/>
      <c r="FAU90" s="223"/>
      <c r="FAV90" s="225"/>
      <c r="FAW90" s="220"/>
      <c r="FAX90" s="221"/>
      <c r="FAY90" s="222"/>
      <c r="FAZ90" s="222"/>
      <c r="FBA90" s="223"/>
      <c r="FBB90" s="223"/>
      <c r="FBC90" s="224"/>
      <c r="FBD90" s="223"/>
      <c r="FBE90" s="223"/>
      <c r="FBF90" s="223"/>
      <c r="FBG90" s="223"/>
      <c r="FBH90" s="225"/>
      <c r="FBI90" s="220"/>
      <c r="FBJ90" s="221"/>
      <c r="FBK90" s="222"/>
      <c r="FBL90" s="222"/>
      <c r="FBM90" s="223"/>
      <c r="FBN90" s="223"/>
      <c r="FBO90" s="224"/>
      <c r="FBP90" s="223"/>
      <c r="FBQ90" s="223"/>
      <c r="FBR90" s="223"/>
      <c r="FBS90" s="223"/>
      <c r="FBT90" s="225"/>
      <c r="FBU90" s="220"/>
      <c r="FBV90" s="221"/>
      <c r="FBW90" s="222"/>
      <c r="FBX90" s="222"/>
      <c r="FBY90" s="223"/>
      <c r="FBZ90" s="223"/>
      <c r="FCA90" s="224"/>
      <c r="FCB90" s="223"/>
      <c r="FCC90" s="223"/>
      <c r="FCD90" s="223"/>
      <c r="FCE90" s="223"/>
      <c r="FCF90" s="225"/>
      <c r="FCG90" s="220"/>
      <c r="FCH90" s="221"/>
      <c r="FCI90" s="222"/>
      <c r="FCJ90" s="222"/>
      <c r="FCK90" s="223"/>
      <c r="FCL90" s="223"/>
      <c r="FCM90" s="224"/>
      <c r="FCN90" s="223"/>
      <c r="FCO90" s="223"/>
      <c r="FCP90" s="223"/>
      <c r="FCQ90" s="223"/>
      <c r="FCR90" s="225"/>
      <c r="FCS90" s="220"/>
      <c r="FCT90" s="221"/>
      <c r="FCU90" s="222"/>
      <c r="FCV90" s="222"/>
      <c r="FCW90" s="223"/>
      <c r="FCX90" s="223"/>
      <c r="FCY90" s="224"/>
      <c r="FCZ90" s="223"/>
      <c r="FDA90" s="223"/>
      <c r="FDB90" s="223"/>
      <c r="FDC90" s="223"/>
      <c r="FDD90" s="225"/>
      <c r="FDE90" s="220"/>
      <c r="FDF90" s="221"/>
      <c r="FDG90" s="222"/>
      <c r="FDH90" s="222"/>
      <c r="FDI90" s="223"/>
      <c r="FDJ90" s="223"/>
      <c r="FDK90" s="224"/>
      <c r="FDL90" s="223"/>
      <c r="FDM90" s="223"/>
      <c r="FDN90" s="223"/>
      <c r="FDO90" s="223"/>
      <c r="FDP90" s="225"/>
      <c r="FDQ90" s="220"/>
      <c r="FDR90" s="221"/>
      <c r="FDS90" s="222"/>
      <c r="FDT90" s="222"/>
      <c r="FDU90" s="223"/>
      <c r="FDV90" s="223"/>
      <c r="FDW90" s="224"/>
      <c r="FDX90" s="223"/>
      <c r="FDY90" s="223"/>
      <c r="FDZ90" s="223"/>
      <c r="FEA90" s="223"/>
      <c r="FEB90" s="225"/>
      <c r="FEC90" s="220"/>
      <c r="FED90" s="221"/>
      <c r="FEE90" s="222"/>
      <c r="FEF90" s="222"/>
      <c r="FEG90" s="223"/>
      <c r="FEH90" s="223"/>
      <c r="FEI90" s="224"/>
      <c r="FEJ90" s="223"/>
      <c r="FEK90" s="223"/>
      <c r="FEL90" s="223"/>
      <c r="FEM90" s="223"/>
      <c r="FEN90" s="225"/>
      <c r="FEO90" s="220"/>
      <c r="FEP90" s="221"/>
      <c r="FEQ90" s="222"/>
      <c r="FER90" s="222"/>
      <c r="FES90" s="223"/>
      <c r="FET90" s="223"/>
      <c r="FEU90" s="224"/>
      <c r="FEV90" s="223"/>
      <c r="FEW90" s="223"/>
      <c r="FEX90" s="223"/>
      <c r="FEY90" s="223"/>
      <c r="FEZ90" s="225"/>
      <c r="FFA90" s="220"/>
      <c r="FFB90" s="221"/>
      <c r="FFC90" s="222"/>
      <c r="FFD90" s="222"/>
      <c r="FFE90" s="223"/>
      <c r="FFF90" s="223"/>
      <c r="FFG90" s="224"/>
      <c r="FFH90" s="223"/>
      <c r="FFI90" s="223"/>
      <c r="FFJ90" s="223"/>
      <c r="FFK90" s="223"/>
      <c r="FFL90" s="225"/>
      <c r="FFM90" s="220"/>
      <c r="FFN90" s="221"/>
      <c r="FFO90" s="222"/>
      <c r="FFP90" s="222"/>
      <c r="FFQ90" s="223"/>
      <c r="FFR90" s="223"/>
      <c r="FFS90" s="224"/>
      <c r="FFT90" s="223"/>
      <c r="FFU90" s="223"/>
      <c r="FFV90" s="223"/>
      <c r="FFW90" s="223"/>
      <c r="FFX90" s="225"/>
      <c r="FFY90" s="220"/>
      <c r="FFZ90" s="221"/>
      <c r="FGA90" s="222"/>
      <c r="FGB90" s="222"/>
      <c r="FGC90" s="223"/>
      <c r="FGD90" s="223"/>
      <c r="FGE90" s="224"/>
      <c r="FGF90" s="223"/>
      <c r="FGG90" s="223"/>
      <c r="FGH90" s="223"/>
      <c r="FGI90" s="223"/>
      <c r="FGJ90" s="225"/>
      <c r="FGK90" s="220"/>
      <c r="FGL90" s="221"/>
      <c r="FGM90" s="222"/>
      <c r="FGN90" s="222"/>
      <c r="FGO90" s="223"/>
      <c r="FGP90" s="223"/>
      <c r="FGQ90" s="224"/>
      <c r="FGR90" s="223"/>
      <c r="FGS90" s="223"/>
      <c r="FGT90" s="223"/>
      <c r="FGU90" s="223"/>
      <c r="FGV90" s="225"/>
      <c r="FGW90" s="220"/>
      <c r="FGX90" s="221"/>
      <c r="FGY90" s="222"/>
      <c r="FGZ90" s="222"/>
      <c r="FHA90" s="223"/>
      <c r="FHB90" s="223"/>
      <c r="FHC90" s="224"/>
      <c r="FHD90" s="223"/>
      <c r="FHE90" s="223"/>
      <c r="FHF90" s="223"/>
      <c r="FHG90" s="223"/>
      <c r="FHH90" s="225"/>
      <c r="FHI90" s="220"/>
      <c r="FHJ90" s="221"/>
      <c r="FHK90" s="222"/>
      <c r="FHL90" s="222"/>
      <c r="FHM90" s="223"/>
      <c r="FHN90" s="223"/>
      <c r="FHO90" s="224"/>
      <c r="FHP90" s="223"/>
      <c r="FHQ90" s="223"/>
      <c r="FHR90" s="223"/>
      <c r="FHS90" s="223"/>
      <c r="FHT90" s="225"/>
      <c r="FHU90" s="220"/>
      <c r="FHV90" s="221"/>
      <c r="FHW90" s="222"/>
      <c r="FHX90" s="222"/>
      <c r="FHY90" s="223"/>
      <c r="FHZ90" s="223"/>
      <c r="FIA90" s="224"/>
      <c r="FIB90" s="223"/>
      <c r="FIC90" s="223"/>
      <c r="FID90" s="223"/>
      <c r="FIE90" s="223"/>
      <c r="FIF90" s="225"/>
      <c r="FIG90" s="220"/>
      <c r="FIH90" s="221"/>
      <c r="FII90" s="222"/>
      <c r="FIJ90" s="222"/>
      <c r="FIK90" s="223"/>
      <c r="FIL90" s="223"/>
      <c r="FIM90" s="224"/>
      <c r="FIN90" s="223"/>
      <c r="FIO90" s="223"/>
      <c r="FIP90" s="223"/>
      <c r="FIQ90" s="223"/>
      <c r="FIR90" s="225"/>
      <c r="FIS90" s="220"/>
      <c r="FIT90" s="221"/>
      <c r="FIU90" s="222"/>
      <c r="FIV90" s="222"/>
      <c r="FIW90" s="223"/>
      <c r="FIX90" s="223"/>
      <c r="FIY90" s="224"/>
      <c r="FIZ90" s="223"/>
      <c r="FJA90" s="223"/>
      <c r="FJB90" s="223"/>
      <c r="FJC90" s="223"/>
      <c r="FJD90" s="225"/>
      <c r="FJE90" s="220"/>
      <c r="FJF90" s="221"/>
      <c r="FJG90" s="222"/>
      <c r="FJH90" s="222"/>
      <c r="FJI90" s="223"/>
      <c r="FJJ90" s="223"/>
      <c r="FJK90" s="224"/>
      <c r="FJL90" s="223"/>
      <c r="FJM90" s="223"/>
      <c r="FJN90" s="223"/>
      <c r="FJO90" s="223"/>
      <c r="FJP90" s="225"/>
      <c r="FJQ90" s="220"/>
      <c r="FJR90" s="221"/>
      <c r="FJS90" s="222"/>
      <c r="FJT90" s="222"/>
      <c r="FJU90" s="223"/>
      <c r="FJV90" s="223"/>
      <c r="FJW90" s="224"/>
      <c r="FJX90" s="223"/>
      <c r="FJY90" s="223"/>
      <c r="FJZ90" s="223"/>
      <c r="FKA90" s="223"/>
      <c r="FKB90" s="225"/>
      <c r="FKC90" s="220"/>
      <c r="FKD90" s="221"/>
      <c r="FKE90" s="222"/>
      <c r="FKF90" s="222"/>
      <c r="FKG90" s="223"/>
      <c r="FKH90" s="223"/>
      <c r="FKI90" s="224"/>
      <c r="FKJ90" s="223"/>
      <c r="FKK90" s="223"/>
      <c r="FKL90" s="223"/>
      <c r="FKM90" s="223"/>
      <c r="FKN90" s="225"/>
      <c r="FKO90" s="220"/>
      <c r="FKP90" s="221"/>
      <c r="FKQ90" s="222"/>
      <c r="FKR90" s="222"/>
      <c r="FKS90" s="223"/>
      <c r="FKT90" s="223"/>
      <c r="FKU90" s="224"/>
      <c r="FKV90" s="223"/>
      <c r="FKW90" s="223"/>
      <c r="FKX90" s="223"/>
      <c r="FKY90" s="223"/>
      <c r="FKZ90" s="225"/>
      <c r="FLA90" s="220"/>
      <c r="FLB90" s="221"/>
      <c r="FLC90" s="222"/>
      <c r="FLD90" s="222"/>
      <c r="FLE90" s="223"/>
      <c r="FLF90" s="223"/>
      <c r="FLG90" s="224"/>
      <c r="FLH90" s="223"/>
      <c r="FLI90" s="223"/>
      <c r="FLJ90" s="223"/>
      <c r="FLK90" s="223"/>
      <c r="FLL90" s="225"/>
      <c r="FLM90" s="220"/>
      <c r="FLN90" s="221"/>
      <c r="FLO90" s="222"/>
      <c r="FLP90" s="222"/>
      <c r="FLQ90" s="223"/>
      <c r="FLR90" s="223"/>
      <c r="FLS90" s="224"/>
      <c r="FLT90" s="223"/>
      <c r="FLU90" s="223"/>
      <c r="FLV90" s="223"/>
      <c r="FLW90" s="223"/>
      <c r="FLX90" s="225"/>
      <c r="FLY90" s="220"/>
      <c r="FLZ90" s="221"/>
      <c r="FMA90" s="222"/>
      <c r="FMB90" s="222"/>
      <c r="FMC90" s="223"/>
      <c r="FMD90" s="223"/>
      <c r="FME90" s="224"/>
      <c r="FMF90" s="223"/>
      <c r="FMG90" s="223"/>
      <c r="FMH90" s="223"/>
      <c r="FMI90" s="223"/>
      <c r="FMJ90" s="225"/>
      <c r="FMK90" s="220"/>
      <c r="FML90" s="221"/>
      <c r="FMM90" s="222"/>
      <c r="FMN90" s="222"/>
      <c r="FMO90" s="223"/>
      <c r="FMP90" s="223"/>
      <c r="FMQ90" s="224"/>
      <c r="FMR90" s="223"/>
      <c r="FMS90" s="223"/>
      <c r="FMT90" s="223"/>
      <c r="FMU90" s="223"/>
      <c r="FMV90" s="225"/>
      <c r="FMW90" s="220"/>
      <c r="FMX90" s="221"/>
      <c r="FMY90" s="222"/>
      <c r="FMZ90" s="222"/>
      <c r="FNA90" s="223"/>
      <c r="FNB90" s="223"/>
      <c r="FNC90" s="224"/>
      <c r="FND90" s="223"/>
      <c r="FNE90" s="223"/>
      <c r="FNF90" s="223"/>
      <c r="FNG90" s="223"/>
      <c r="FNH90" s="225"/>
      <c r="FNI90" s="220"/>
      <c r="FNJ90" s="221"/>
      <c r="FNK90" s="222"/>
      <c r="FNL90" s="222"/>
      <c r="FNM90" s="223"/>
      <c r="FNN90" s="223"/>
      <c r="FNO90" s="224"/>
      <c r="FNP90" s="223"/>
      <c r="FNQ90" s="223"/>
      <c r="FNR90" s="223"/>
      <c r="FNS90" s="223"/>
      <c r="FNT90" s="225"/>
      <c r="FNU90" s="220"/>
      <c r="FNV90" s="221"/>
      <c r="FNW90" s="222"/>
      <c r="FNX90" s="222"/>
      <c r="FNY90" s="223"/>
      <c r="FNZ90" s="223"/>
      <c r="FOA90" s="224"/>
      <c r="FOB90" s="223"/>
      <c r="FOC90" s="223"/>
      <c r="FOD90" s="223"/>
      <c r="FOE90" s="223"/>
      <c r="FOF90" s="225"/>
      <c r="FOG90" s="220"/>
      <c r="FOH90" s="221"/>
      <c r="FOI90" s="222"/>
      <c r="FOJ90" s="222"/>
      <c r="FOK90" s="223"/>
      <c r="FOL90" s="223"/>
      <c r="FOM90" s="224"/>
      <c r="FON90" s="223"/>
      <c r="FOO90" s="223"/>
      <c r="FOP90" s="223"/>
      <c r="FOQ90" s="223"/>
      <c r="FOR90" s="225"/>
      <c r="FOS90" s="220"/>
      <c r="FOT90" s="221"/>
      <c r="FOU90" s="222"/>
      <c r="FOV90" s="222"/>
      <c r="FOW90" s="223"/>
      <c r="FOX90" s="223"/>
      <c r="FOY90" s="224"/>
      <c r="FOZ90" s="223"/>
      <c r="FPA90" s="223"/>
      <c r="FPB90" s="223"/>
      <c r="FPC90" s="223"/>
      <c r="FPD90" s="225"/>
      <c r="FPE90" s="220"/>
      <c r="FPF90" s="221"/>
      <c r="FPG90" s="222"/>
      <c r="FPH90" s="222"/>
      <c r="FPI90" s="223"/>
      <c r="FPJ90" s="223"/>
      <c r="FPK90" s="224"/>
      <c r="FPL90" s="223"/>
      <c r="FPM90" s="223"/>
      <c r="FPN90" s="223"/>
      <c r="FPO90" s="223"/>
      <c r="FPP90" s="225"/>
      <c r="FPQ90" s="220"/>
      <c r="FPR90" s="221"/>
      <c r="FPS90" s="222"/>
      <c r="FPT90" s="222"/>
      <c r="FPU90" s="223"/>
      <c r="FPV90" s="223"/>
      <c r="FPW90" s="224"/>
      <c r="FPX90" s="223"/>
      <c r="FPY90" s="223"/>
      <c r="FPZ90" s="223"/>
      <c r="FQA90" s="223"/>
      <c r="FQB90" s="225"/>
      <c r="FQC90" s="220"/>
      <c r="FQD90" s="221"/>
      <c r="FQE90" s="222"/>
      <c r="FQF90" s="222"/>
      <c r="FQG90" s="223"/>
      <c r="FQH90" s="223"/>
      <c r="FQI90" s="224"/>
      <c r="FQJ90" s="223"/>
      <c r="FQK90" s="223"/>
      <c r="FQL90" s="223"/>
      <c r="FQM90" s="223"/>
      <c r="FQN90" s="225"/>
      <c r="FQO90" s="220"/>
      <c r="FQP90" s="221"/>
      <c r="FQQ90" s="222"/>
      <c r="FQR90" s="222"/>
      <c r="FQS90" s="223"/>
      <c r="FQT90" s="223"/>
      <c r="FQU90" s="224"/>
      <c r="FQV90" s="223"/>
      <c r="FQW90" s="223"/>
      <c r="FQX90" s="223"/>
      <c r="FQY90" s="223"/>
      <c r="FQZ90" s="225"/>
      <c r="FRA90" s="220"/>
      <c r="FRB90" s="221"/>
      <c r="FRC90" s="222"/>
      <c r="FRD90" s="222"/>
      <c r="FRE90" s="223"/>
      <c r="FRF90" s="223"/>
      <c r="FRG90" s="224"/>
      <c r="FRH90" s="223"/>
      <c r="FRI90" s="223"/>
      <c r="FRJ90" s="223"/>
      <c r="FRK90" s="223"/>
      <c r="FRL90" s="225"/>
      <c r="FRM90" s="220"/>
      <c r="FRN90" s="221"/>
      <c r="FRO90" s="222"/>
      <c r="FRP90" s="222"/>
      <c r="FRQ90" s="223"/>
      <c r="FRR90" s="223"/>
      <c r="FRS90" s="224"/>
      <c r="FRT90" s="223"/>
      <c r="FRU90" s="223"/>
      <c r="FRV90" s="223"/>
      <c r="FRW90" s="223"/>
      <c r="FRX90" s="225"/>
      <c r="FRY90" s="220"/>
      <c r="FRZ90" s="221"/>
      <c r="FSA90" s="222"/>
      <c r="FSB90" s="222"/>
      <c r="FSC90" s="223"/>
      <c r="FSD90" s="223"/>
      <c r="FSE90" s="224"/>
      <c r="FSF90" s="223"/>
      <c r="FSG90" s="223"/>
      <c r="FSH90" s="223"/>
      <c r="FSI90" s="223"/>
      <c r="FSJ90" s="225"/>
      <c r="FSK90" s="220"/>
      <c r="FSL90" s="221"/>
      <c r="FSM90" s="222"/>
      <c r="FSN90" s="222"/>
      <c r="FSO90" s="223"/>
      <c r="FSP90" s="223"/>
      <c r="FSQ90" s="224"/>
      <c r="FSR90" s="223"/>
      <c r="FSS90" s="223"/>
      <c r="FST90" s="223"/>
      <c r="FSU90" s="223"/>
      <c r="FSV90" s="225"/>
      <c r="FSW90" s="220"/>
      <c r="FSX90" s="221"/>
      <c r="FSY90" s="222"/>
      <c r="FSZ90" s="222"/>
      <c r="FTA90" s="223"/>
      <c r="FTB90" s="223"/>
      <c r="FTC90" s="224"/>
      <c r="FTD90" s="223"/>
      <c r="FTE90" s="223"/>
      <c r="FTF90" s="223"/>
      <c r="FTG90" s="223"/>
      <c r="FTH90" s="225"/>
      <c r="FTI90" s="220"/>
      <c r="FTJ90" s="221"/>
      <c r="FTK90" s="222"/>
      <c r="FTL90" s="222"/>
      <c r="FTM90" s="223"/>
      <c r="FTN90" s="223"/>
      <c r="FTO90" s="224"/>
      <c r="FTP90" s="223"/>
      <c r="FTQ90" s="223"/>
      <c r="FTR90" s="223"/>
      <c r="FTS90" s="223"/>
      <c r="FTT90" s="225"/>
      <c r="FTU90" s="220"/>
      <c r="FTV90" s="221"/>
      <c r="FTW90" s="222"/>
      <c r="FTX90" s="222"/>
      <c r="FTY90" s="223"/>
      <c r="FTZ90" s="223"/>
      <c r="FUA90" s="224"/>
      <c r="FUB90" s="223"/>
      <c r="FUC90" s="223"/>
      <c r="FUD90" s="223"/>
      <c r="FUE90" s="223"/>
      <c r="FUF90" s="225"/>
      <c r="FUG90" s="220"/>
      <c r="FUH90" s="221"/>
      <c r="FUI90" s="222"/>
      <c r="FUJ90" s="222"/>
      <c r="FUK90" s="223"/>
      <c r="FUL90" s="223"/>
      <c r="FUM90" s="224"/>
      <c r="FUN90" s="223"/>
      <c r="FUO90" s="223"/>
      <c r="FUP90" s="223"/>
      <c r="FUQ90" s="223"/>
      <c r="FUR90" s="225"/>
      <c r="FUS90" s="220"/>
      <c r="FUT90" s="221"/>
      <c r="FUU90" s="222"/>
      <c r="FUV90" s="222"/>
      <c r="FUW90" s="223"/>
      <c r="FUX90" s="223"/>
      <c r="FUY90" s="224"/>
      <c r="FUZ90" s="223"/>
      <c r="FVA90" s="223"/>
      <c r="FVB90" s="223"/>
      <c r="FVC90" s="223"/>
      <c r="FVD90" s="225"/>
      <c r="FVE90" s="220"/>
      <c r="FVF90" s="221"/>
      <c r="FVG90" s="222"/>
      <c r="FVH90" s="222"/>
      <c r="FVI90" s="223"/>
      <c r="FVJ90" s="223"/>
      <c r="FVK90" s="224"/>
      <c r="FVL90" s="223"/>
      <c r="FVM90" s="223"/>
      <c r="FVN90" s="223"/>
      <c r="FVO90" s="223"/>
      <c r="FVP90" s="225"/>
      <c r="FVQ90" s="220"/>
      <c r="FVR90" s="221"/>
      <c r="FVS90" s="222"/>
      <c r="FVT90" s="222"/>
      <c r="FVU90" s="223"/>
      <c r="FVV90" s="223"/>
      <c r="FVW90" s="224"/>
      <c r="FVX90" s="223"/>
      <c r="FVY90" s="223"/>
      <c r="FVZ90" s="223"/>
      <c r="FWA90" s="223"/>
      <c r="FWB90" s="225"/>
      <c r="FWC90" s="220"/>
      <c r="FWD90" s="221"/>
      <c r="FWE90" s="222"/>
      <c r="FWF90" s="222"/>
      <c r="FWG90" s="223"/>
      <c r="FWH90" s="223"/>
      <c r="FWI90" s="224"/>
      <c r="FWJ90" s="223"/>
      <c r="FWK90" s="223"/>
      <c r="FWL90" s="223"/>
      <c r="FWM90" s="223"/>
      <c r="FWN90" s="225"/>
      <c r="FWO90" s="220"/>
      <c r="FWP90" s="221"/>
      <c r="FWQ90" s="222"/>
      <c r="FWR90" s="222"/>
      <c r="FWS90" s="223"/>
      <c r="FWT90" s="223"/>
      <c r="FWU90" s="224"/>
      <c r="FWV90" s="223"/>
      <c r="FWW90" s="223"/>
      <c r="FWX90" s="223"/>
      <c r="FWY90" s="223"/>
      <c r="FWZ90" s="225"/>
      <c r="FXA90" s="220"/>
      <c r="FXB90" s="221"/>
      <c r="FXC90" s="222"/>
      <c r="FXD90" s="222"/>
      <c r="FXE90" s="223"/>
      <c r="FXF90" s="223"/>
      <c r="FXG90" s="224"/>
      <c r="FXH90" s="223"/>
      <c r="FXI90" s="223"/>
      <c r="FXJ90" s="223"/>
      <c r="FXK90" s="223"/>
      <c r="FXL90" s="225"/>
      <c r="FXM90" s="220"/>
      <c r="FXN90" s="221"/>
      <c r="FXO90" s="222"/>
      <c r="FXP90" s="222"/>
      <c r="FXQ90" s="223"/>
      <c r="FXR90" s="223"/>
      <c r="FXS90" s="224"/>
      <c r="FXT90" s="223"/>
      <c r="FXU90" s="223"/>
      <c r="FXV90" s="223"/>
      <c r="FXW90" s="223"/>
      <c r="FXX90" s="225"/>
      <c r="FXY90" s="220"/>
      <c r="FXZ90" s="221"/>
      <c r="FYA90" s="222"/>
      <c r="FYB90" s="222"/>
      <c r="FYC90" s="223"/>
      <c r="FYD90" s="223"/>
      <c r="FYE90" s="224"/>
      <c r="FYF90" s="223"/>
      <c r="FYG90" s="223"/>
      <c r="FYH90" s="223"/>
      <c r="FYI90" s="223"/>
      <c r="FYJ90" s="225"/>
      <c r="FYK90" s="220"/>
      <c r="FYL90" s="221"/>
      <c r="FYM90" s="222"/>
      <c r="FYN90" s="222"/>
      <c r="FYO90" s="223"/>
      <c r="FYP90" s="223"/>
      <c r="FYQ90" s="224"/>
      <c r="FYR90" s="223"/>
      <c r="FYS90" s="223"/>
      <c r="FYT90" s="223"/>
      <c r="FYU90" s="223"/>
      <c r="FYV90" s="225"/>
      <c r="FYW90" s="220"/>
      <c r="FYX90" s="221"/>
      <c r="FYY90" s="222"/>
      <c r="FYZ90" s="222"/>
      <c r="FZA90" s="223"/>
      <c r="FZB90" s="223"/>
      <c r="FZC90" s="224"/>
      <c r="FZD90" s="223"/>
      <c r="FZE90" s="223"/>
      <c r="FZF90" s="223"/>
      <c r="FZG90" s="223"/>
      <c r="FZH90" s="225"/>
      <c r="FZI90" s="220"/>
      <c r="FZJ90" s="221"/>
      <c r="FZK90" s="222"/>
      <c r="FZL90" s="222"/>
      <c r="FZM90" s="223"/>
      <c r="FZN90" s="223"/>
      <c r="FZO90" s="224"/>
      <c r="FZP90" s="223"/>
      <c r="FZQ90" s="223"/>
      <c r="FZR90" s="223"/>
      <c r="FZS90" s="223"/>
      <c r="FZT90" s="225"/>
      <c r="FZU90" s="220"/>
      <c r="FZV90" s="221"/>
      <c r="FZW90" s="222"/>
      <c r="FZX90" s="222"/>
      <c r="FZY90" s="223"/>
      <c r="FZZ90" s="223"/>
      <c r="GAA90" s="224"/>
      <c r="GAB90" s="223"/>
      <c r="GAC90" s="223"/>
      <c r="GAD90" s="223"/>
      <c r="GAE90" s="223"/>
      <c r="GAF90" s="225"/>
      <c r="GAG90" s="220"/>
      <c r="GAH90" s="221"/>
      <c r="GAI90" s="222"/>
      <c r="GAJ90" s="222"/>
      <c r="GAK90" s="223"/>
      <c r="GAL90" s="223"/>
      <c r="GAM90" s="224"/>
      <c r="GAN90" s="223"/>
      <c r="GAO90" s="223"/>
      <c r="GAP90" s="223"/>
      <c r="GAQ90" s="223"/>
      <c r="GAR90" s="225"/>
      <c r="GAS90" s="220"/>
      <c r="GAT90" s="221"/>
      <c r="GAU90" s="222"/>
      <c r="GAV90" s="222"/>
      <c r="GAW90" s="223"/>
      <c r="GAX90" s="223"/>
      <c r="GAY90" s="224"/>
      <c r="GAZ90" s="223"/>
      <c r="GBA90" s="223"/>
      <c r="GBB90" s="223"/>
      <c r="GBC90" s="223"/>
      <c r="GBD90" s="225"/>
      <c r="GBE90" s="220"/>
      <c r="GBF90" s="221"/>
      <c r="GBG90" s="222"/>
      <c r="GBH90" s="222"/>
      <c r="GBI90" s="223"/>
      <c r="GBJ90" s="223"/>
      <c r="GBK90" s="224"/>
      <c r="GBL90" s="223"/>
      <c r="GBM90" s="223"/>
      <c r="GBN90" s="223"/>
      <c r="GBO90" s="223"/>
      <c r="GBP90" s="225"/>
      <c r="GBQ90" s="220"/>
      <c r="GBR90" s="221"/>
      <c r="GBS90" s="222"/>
      <c r="GBT90" s="222"/>
      <c r="GBU90" s="223"/>
      <c r="GBV90" s="223"/>
      <c r="GBW90" s="224"/>
      <c r="GBX90" s="223"/>
      <c r="GBY90" s="223"/>
      <c r="GBZ90" s="223"/>
      <c r="GCA90" s="223"/>
      <c r="GCB90" s="225"/>
      <c r="GCC90" s="220"/>
      <c r="GCD90" s="221"/>
      <c r="GCE90" s="222"/>
      <c r="GCF90" s="222"/>
      <c r="GCG90" s="223"/>
      <c r="GCH90" s="223"/>
      <c r="GCI90" s="224"/>
      <c r="GCJ90" s="223"/>
      <c r="GCK90" s="223"/>
      <c r="GCL90" s="223"/>
      <c r="GCM90" s="223"/>
      <c r="GCN90" s="225"/>
      <c r="GCO90" s="220"/>
      <c r="GCP90" s="221"/>
      <c r="GCQ90" s="222"/>
      <c r="GCR90" s="222"/>
      <c r="GCS90" s="223"/>
      <c r="GCT90" s="223"/>
      <c r="GCU90" s="224"/>
      <c r="GCV90" s="223"/>
      <c r="GCW90" s="223"/>
      <c r="GCX90" s="223"/>
      <c r="GCY90" s="223"/>
      <c r="GCZ90" s="225"/>
      <c r="GDA90" s="220"/>
      <c r="GDB90" s="221"/>
      <c r="GDC90" s="222"/>
      <c r="GDD90" s="222"/>
      <c r="GDE90" s="223"/>
      <c r="GDF90" s="223"/>
      <c r="GDG90" s="224"/>
      <c r="GDH90" s="223"/>
      <c r="GDI90" s="223"/>
      <c r="GDJ90" s="223"/>
      <c r="GDK90" s="223"/>
      <c r="GDL90" s="225"/>
      <c r="GDM90" s="220"/>
      <c r="GDN90" s="221"/>
      <c r="GDO90" s="222"/>
      <c r="GDP90" s="222"/>
      <c r="GDQ90" s="223"/>
      <c r="GDR90" s="223"/>
      <c r="GDS90" s="224"/>
      <c r="GDT90" s="223"/>
      <c r="GDU90" s="223"/>
      <c r="GDV90" s="223"/>
      <c r="GDW90" s="223"/>
      <c r="GDX90" s="225"/>
      <c r="GDY90" s="220"/>
      <c r="GDZ90" s="221"/>
      <c r="GEA90" s="222"/>
      <c r="GEB90" s="222"/>
      <c r="GEC90" s="223"/>
      <c r="GED90" s="223"/>
      <c r="GEE90" s="224"/>
      <c r="GEF90" s="223"/>
      <c r="GEG90" s="223"/>
      <c r="GEH90" s="223"/>
      <c r="GEI90" s="223"/>
      <c r="GEJ90" s="225"/>
      <c r="GEK90" s="220"/>
      <c r="GEL90" s="221"/>
      <c r="GEM90" s="222"/>
      <c r="GEN90" s="222"/>
      <c r="GEO90" s="223"/>
      <c r="GEP90" s="223"/>
      <c r="GEQ90" s="224"/>
      <c r="GER90" s="223"/>
      <c r="GES90" s="223"/>
      <c r="GET90" s="223"/>
      <c r="GEU90" s="223"/>
      <c r="GEV90" s="225"/>
      <c r="GEW90" s="220"/>
      <c r="GEX90" s="221"/>
      <c r="GEY90" s="222"/>
      <c r="GEZ90" s="222"/>
      <c r="GFA90" s="223"/>
      <c r="GFB90" s="223"/>
      <c r="GFC90" s="224"/>
      <c r="GFD90" s="223"/>
      <c r="GFE90" s="223"/>
      <c r="GFF90" s="223"/>
      <c r="GFG90" s="223"/>
      <c r="GFH90" s="225"/>
      <c r="GFI90" s="220"/>
      <c r="GFJ90" s="221"/>
      <c r="GFK90" s="222"/>
      <c r="GFL90" s="222"/>
      <c r="GFM90" s="223"/>
      <c r="GFN90" s="223"/>
      <c r="GFO90" s="224"/>
      <c r="GFP90" s="223"/>
      <c r="GFQ90" s="223"/>
      <c r="GFR90" s="223"/>
      <c r="GFS90" s="223"/>
      <c r="GFT90" s="225"/>
      <c r="GFU90" s="220"/>
      <c r="GFV90" s="221"/>
      <c r="GFW90" s="222"/>
      <c r="GFX90" s="222"/>
      <c r="GFY90" s="223"/>
      <c r="GFZ90" s="223"/>
      <c r="GGA90" s="224"/>
      <c r="GGB90" s="223"/>
      <c r="GGC90" s="223"/>
      <c r="GGD90" s="223"/>
      <c r="GGE90" s="223"/>
      <c r="GGF90" s="225"/>
      <c r="GGG90" s="220"/>
      <c r="GGH90" s="221"/>
      <c r="GGI90" s="222"/>
      <c r="GGJ90" s="222"/>
      <c r="GGK90" s="223"/>
      <c r="GGL90" s="223"/>
      <c r="GGM90" s="224"/>
      <c r="GGN90" s="223"/>
      <c r="GGO90" s="223"/>
      <c r="GGP90" s="223"/>
      <c r="GGQ90" s="223"/>
      <c r="GGR90" s="225"/>
      <c r="GGS90" s="220"/>
      <c r="GGT90" s="221"/>
      <c r="GGU90" s="222"/>
      <c r="GGV90" s="222"/>
      <c r="GGW90" s="223"/>
      <c r="GGX90" s="223"/>
      <c r="GGY90" s="224"/>
      <c r="GGZ90" s="223"/>
      <c r="GHA90" s="223"/>
      <c r="GHB90" s="223"/>
      <c r="GHC90" s="223"/>
      <c r="GHD90" s="225"/>
      <c r="GHE90" s="220"/>
      <c r="GHF90" s="221"/>
      <c r="GHG90" s="222"/>
      <c r="GHH90" s="222"/>
      <c r="GHI90" s="223"/>
      <c r="GHJ90" s="223"/>
      <c r="GHK90" s="224"/>
      <c r="GHL90" s="223"/>
      <c r="GHM90" s="223"/>
      <c r="GHN90" s="223"/>
      <c r="GHO90" s="223"/>
      <c r="GHP90" s="225"/>
      <c r="GHQ90" s="220"/>
      <c r="GHR90" s="221"/>
      <c r="GHS90" s="222"/>
      <c r="GHT90" s="222"/>
      <c r="GHU90" s="223"/>
      <c r="GHV90" s="223"/>
      <c r="GHW90" s="224"/>
      <c r="GHX90" s="223"/>
      <c r="GHY90" s="223"/>
      <c r="GHZ90" s="223"/>
      <c r="GIA90" s="223"/>
      <c r="GIB90" s="225"/>
      <c r="GIC90" s="220"/>
      <c r="GID90" s="221"/>
      <c r="GIE90" s="222"/>
      <c r="GIF90" s="222"/>
      <c r="GIG90" s="223"/>
      <c r="GIH90" s="223"/>
      <c r="GII90" s="224"/>
      <c r="GIJ90" s="223"/>
      <c r="GIK90" s="223"/>
      <c r="GIL90" s="223"/>
      <c r="GIM90" s="223"/>
      <c r="GIN90" s="225"/>
      <c r="GIO90" s="220"/>
      <c r="GIP90" s="221"/>
      <c r="GIQ90" s="222"/>
      <c r="GIR90" s="222"/>
      <c r="GIS90" s="223"/>
      <c r="GIT90" s="223"/>
      <c r="GIU90" s="224"/>
      <c r="GIV90" s="223"/>
      <c r="GIW90" s="223"/>
      <c r="GIX90" s="223"/>
      <c r="GIY90" s="223"/>
      <c r="GIZ90" s="225"/>
      <c r="GJA90" s="220"/>
      <c r="GJB90" s="221"/>
      <c r="GJC90" s="222"/>
      <c r="GJD90" s="222"/>
      <c r="GJE90" s="223"/>
      <c r="GJF90" s="223"/>
      <c r="GJG90" s="224"/>
      <c r="GJH90" s="223"/>
      <c r="GJI90" s="223"/>
      <c r="GJJ90" s="223"/>
      <c r="GJK90" s="223"/>
      <c r="GJL90" s="225"/>
      <c r="GJM90" s="220"/>
      <c r="GJN90" s="221"/>
      <c r="GJO90" s="222"/>
      <c r="GJP90" s="222"/>
      <c r="GJQ90" s="223"/>
      <c r="GJR90" s="223"/>
      <c r="GJS90" s="224"/>
      <c r="GJT90" s="223"/>
      <c r="GJU90" s="223"/>
      <c r="GJV90" s="223"/>
      <c r="GJW90" s="223"/>
      <c r="GJX90" s="225"/>
      <c r="GJY90" s="220"/>
      <c r="GJZ90" s="221"/>
      <c r="GKA90" s="222"/>
      <c r="GKB90" s="222"/>
      <c r="GKC90" s="223"/>
      <c r="GKD90" s="223"/>
      <c r="GKE90" s="224"/>
      <c r="GKF90" s="223"/>
      <c r="GKG90" s="223"/>
      <c r="GKH90" s="223"/>
      <c r="GKI90" s="223"/>
      <c r="GKJ90" s="225"/>
      <c r="GKK90" s="220"/>
      <c r="GKL90" s="221"/>
      <c r="GKM90" s="222"/>
      <c r="GKN90" s="222"/>
      <c r="GKO90" s="223"/>
      <c r="GKP90" s="223"/>
      <c r="GKQ90" s="224"/>
      <c r="GKR90" s="223"/>
      <c r="GKS90" s="223"/>
      <c r="GKT90" s="223"/>
      <c r="GKU90" s="223"/>
      <c r="GKV90" s="225"/>
      <c r="GKW90" s="220"/>
      <c r="GKX90" s="221"/>
      <c r="GKY90" s="222"/>
      <c r="GKZ90" s="222"/>
      <c r="GLA90" s="223"/>
      <c r="GLB90" s="223"/>
      <c r="GLC90" s="224"/>
      <c r="GLD90" s="223"/>
      <c r="GLE90" s="223"/>
      <c r="GLF90" s="223"/>
      <c r="GLG90" s="223"/>
      <c r="GLH90" s="225"/>
      <c r="GLI90" s="220"/>
      <c r="GLJ90" s="221"/>
      <c r="GLK90" s="222"/>
      <c r="GLL90" s="222"/>
      <c r="GLM90" s="223"/>
      <c r="GLN90" s="223"/>
      <c r="GLO90" s="224"/>
      <c r="GLP90" s="223"/>
      <c r="GLQ90" s="223"/>
      <c r="GLR90" s="223"/>
      <c r="GLS90" s="223"/>
      <c r="GLT90" s="225"/>
      <c r="GLU90" s="220"/>
      <c r="GLV90" s="221"/>
      <c r="GLW90" s="222"/>
      <c r="GLX90" s="222"/>
      <c r="GLY90" s="223"/>
      <c r="GLZ90" s="223"/>
      <c r="GMA90" s="224"/>
      <c r="GMB90" s="223"/>
      <c r="GMC90" s="223"/>
      <c r="GMD90" s="223"/>
      <c r="GME90" s="223"/>
      <c r="GMF90" s="225"/>
      <c r="GMG90" s="220"/>
      <c r="GMH90" s="221"/>
      <c r="GMI90" s="222"/>
      <c r="GMJ90" s="222"/>
      <c r="GMK90" s="223"/>
      <c r="GML90" s="223"/>
      <c r="GMM90" s="224"/>
      <c r="GMN90" s="223"/>
      <c r="GMO90" s="223"/>
      <c r="GMP90" s="223"/>
      <c r="GMQ90" s="223"/>
      <c r="GMR90" s="225"/>
      <c r="GMS90" s="220"/>
      <c r="GMT90" s="221"/>
      <c r="GMU90" s="222"/>
      <c r="GMV90" s="222"/>
      <c r="GMW90" s="223"/>
      <c r="GMX90" s="223"/>
      <c r="GMY90" s="224"/>
      <c r="GMZ90" s="223"/>
      <c r="GNA90" s="223"/>
      <c r="GNB90" s="223"/>
      <c r="GNC90" s="223"/>
      <c r="GND90" s="225"/>
      <c r="GNE90" s="220"/>
      <c r="GNF90" s="221"/>
      <c r="GNG90" s="222"/>
      <c r="GNH90" s="222"/>
      <c r="GNI90" s="223"/>
      <c r="GNJ90" s="223"/>
      <c r="GNK90" s="224"/>
      <c r="GNL90" s="223"/>
      <c r="GNM90" s="223"/>
      <c r="GNN90" s="223"/>
      <c r="GNO90" s="223"/>
      <c r="GNP90" s="225"/>
      <c r="GNQ90" s="220"/>
      <c r="GNR90" s="221"/>
      <c r="GNS90" s="222"/>
      <c r="GNT90" s="222"/>
      <c r="GNU90" s="223"/>
      <c r="GNV90" s="223"/>
      <c r="GNW90" s="224"/>
      <c r="GNX90" s="223"/>
      <c r="GNY90" s="223"/>
      <c r="GNZ90" s="223"/>
      <c r="GOA90" s="223"/>
      <c r="GOB90" s="225"/>
      <c r="GOC90" s="220"/>
      <c r="GOD90" s="221"/>
      <c r="GOE90" s="222"/>
      <c r="GOF90" s="222"/>
      <c r="GOG90" s="223"/>
      <c r="GOH90" s="223"/>
      <c r="GOI90" s="224"/>
      <c r="GOJ90" s="223"/>
      <c r="GOK90" s="223"/>
      <c r="GOL90" s="223"/>
      <c r="GOM90" s="223"/>
      <c r="GON90" s="225"/>
      <c r="GOO90" s="220"/>
      <c r="GOP90" s="221"/>
      <c r="GOQ90" s="222"/>
      <c r="GOR90" s="222"/>
      <c r="GOS90" s="223"/>
      <c r="GOT90" s="223"/>
      <c r="GOU90" s="224"/>
      <c r="GOV90" s="223"/>
      <c r="GOW90" s="223"/>
      <c r="GOX90" s="223"/>
      <c r="GOY90" s="223"/>
      <c r="GOZ90" s="225"/>
      <c r="GPA90" s="220"/>
      <c r="GPB90" s="221"/>
      <c r="GPC90" s="222"/>
      <c r="GPD90" s="222"/>
      <c r="GPE90" s="223"/>
      <c r="GPF90" s="223"/>
      <c r="GPG90" s="224"/>
      <c r="GPH90" s="223"/>
      <c r="GPI90" s="223"/>
      <c r="GPJ90" s="223"/>
      <c r="GPK90" s="223"/>
      <c r="GPL90" s="225"/>
      <c r="GPM90" s="220"/>
      <c r="GPN90" s="221"/>
      <c r="GPO90" s="222"/>
      <c r="GPP90" s="222"/>
      <c r="GPQ90" s="223"/>
      <c r="GPR90" s="223"/>
      <c r="GPS90" s="224"/>
      <c r="GPT90" s="223"/>
      <c r="GPU90" s="223"/>
      <c r="GPV90" s="223"/>
      <c r="GPW90" s="223"/>
      <c r="GPX90" s="225"/>
      <c r="GPY90" s="220"/>
      <c r="GPZ90" s="221"/>
      <c r="GQA90" s="222"/>
      <c r="GQB90" s="222"/>
      <c r="GQC90" s="223"/>
      <c r="GQD90" s="223"/>
      <c r="GQE90" s="224"/>
      <c r="GQF90" s="223"/>
      <c r="GQG90" s="223"/>
      <c r="GQH90" s="223"/>
      <c r="GQI90" s="223"/>
      <c r="GQJ90" s="225"/>
      <c r="GQK90" s="220"/>
      <c r="GQL90" s="221"/>
      <c r="GQM90" s="222"/>
      <c r="GQN90" s="222"/>
      <c r="GQO90" s="223"/>
      <c r="GQP90" s="223"/>
      <c r="GQQ90" s="224"/>
      <c r="GQR90" s="223"/>
      <c r="GQS90" s="223"/>
      <c r="GQT90" s="223"/>
      <c r="GQU90" s="223"/>
      <c r="GQV90" s="225"/>
      <c r="GQW90" s="220"/>
      <c r="GQX90" s="221"/>
      <c r="GQY90" s="222"/>
      <c r="GQZ90" s="222"/>
      <c r="GRA90" s="223"/>
      <c r="GRB90" s="223"/>
      <c r="GRC90" s="224"/>
      <c r="GRD90" s="223"/>
      <c r="GRE90" s="223"/>
      <c r="GRF90" s="223"/>
      <c r="GRG90" s="223"/>
      <c r="GRH90" s="225"/>
      <c r="GRI90" s="220"/>
      <c r="GRJ90" s="221"/>
      <c r="GRK90" s="222"/>
      <c r="GRL90" s="222"/>
      <c r="GRM90" s="223"/>
      <c r="GRN90" s="223"/>
      <c r="GRO90" s="224"/>
      <c r="GRP90" s="223"/>
      <c r="GRQ90" s="223"/>
      <c r="GRR90" s="223"/>
      <c r="GRS90" s="223"/>
      <c r="GRT90" s="225"/>
      <c r="GRU90" s="220"/>
      <c r="GRV90" s="221"/>
      <c r="GRW90" s="222"/>
      <c r="GRX90" s="222"/>
      <c r="GRY90" s="223"/>
      <c r="GRZ90" s="223"/>
      <c r="GSA90" s="224"/>
      <c r="GSB90" s="223"/>
      <c r="GSC90" s="223"/>
      <c r="GSD90" s="223"/>
      <c r="GSE90" s="223"/>
      <c r="GSF90" s="225"/>
      <c r="GSG90" s="220"/>
      <c r="GSH90" s="221"/>
      <c r="GSI90" s="222"/>
      <c r="GSJ90" s="222"/>
      <c r="GSK90" s="223"/>
      <c r="GSL90" s="223"/>
      <c r="GSM90" s="224"/>
      <c r="GSN90" s="223"/>
      <c r="GSO90" s="223"/>
      <c r="GSP90" s="223"/>
      <c r="GSQ90" s="223"/>
      <c r="GSR90" s="225"/>
      <c r="GSS90" s="220"/>
      <c r="GST90" s="221"/>
      <c r="GSU90" s="222"/>
      <c r="GSV90" s="222"/>
      <c r="GSW90" s="223"/>
      <c r="GSX90" s="223"/>
      <c r="GSY90" s="224"/>
      <c r="GSZ90" s="223"/>
      <c r="GTA90" s="223"/>
      <c r="GTB90" s="223"/>
      <c r="GTC90" s="223"/>
      <c r="GTD90" s="225"/>
      <c r="GTE90" s="220"/>
      <c r="GTF90" s="221"/>
      <c r="GTG90" s="222"/>
      <c r="GTH90" s="222"/>
      <c r="GTI90" s="223"/>
      <c r="GTJ90" s="223"/>
      <c r="GTK90" s="224"/>
      <c r="GTL90" s="223"/>
      <c r="GTM90" s="223"/>
      <c r="GTN90" s="223"/>
      <c r="GTO90" s="223"/>
      <c r="GTP90" s="225"/>
      <c r="GTQ90" s="220"/>
      <c r="GTR90" s="221"/>
      <c r="GTS90" s="222"/>
      <c r="GTT90" s="222"/>
      <c r="GTU90" s="223"/>
      <c r="GTV90" s="223"/>
      <c r="GTW90" s="224"/>
      <c r="GTX90" s="223"/>
      <c r="GTY90" s="223"/>
      <c r="GTZ90" s="223"/>
      <c r="GUA90" s="223"/>
      <c r="GUB90" s="225"/>
      <c r="GUC90" s="220"/>
      <c r="GUD90" s="221"/>
      <c r="GUE90" s="222"/>
      <c r="GUF90" s="222"/>
      <c r="GUG90" s="223"/>
      <c r="GUH90" s="223"/>
      <c r="GUI90" s="224"/>
      <c r="GUJ90" s="223"/>
      <c r="GUK90" s="223"/>
      <c r="GUL90" s="223"/>
      <c r="GUM90" s="223"/>
      <c r="GUN90" s="225"/>
      <c r="GUO90" s="220"/>
      <c r="GUP90" s="221"/>
      <c r="GUQ90" s="222"/>
      <c r="GUR90" s="222"/>
      <c r="GUS90" s="223"/>
      <c r="GUT90" s="223"/>
      <c r="GUU90" s="224"/>
      <c r="GUV90" s="223"/>
      <c r="GUW90" s="223"/>
      <c r="GUX90" s="223"/>
      <c r="GUY90" s="223"/>
      <c r="GUZ90" s="225"/>
      <c r="GVA90" s="220"/>
      <c r="GVB90" s="221"/>
      <c r="GVC90" s="222"/>
      <c r="GVD90" s="222"/>
      <c r="GVE90" s="223"/>
      <c r="GVF90" s="223"/>
      <c r="GVG90" s="224"/>
      <c r="GVH90" s="223"/>
      <c r="GVI90" s="223"/>
      <c r="GVJ90" s="223"/>
      <c r="GVK90" s="223"/>
      <c r="GVL90" s="225"/>
      <c r="GVM90" s="220"/>
      <c r="GVN90" s="221"/>
      <c r="GVO90" s="222"/>
      <c r="GVP90" s="222"/>
      <c r="GVQ90" s="223"/>
      <c r="GVR90" s="223"/>
      <c r="GVS90" s="224"/>
      <c r="GVT90" s="223"/>
      <c r="GVU90" s="223"/>
      <c r="GVV90" s="223"/>
      <c r="GVW90" s="223"/>
      <c r="GVX90" s="225"/>
      <c r="GVY90" s="220"/>
      <c r="GVZ90" s="221"/>
      <c r="GWA90" s="222"/>
      <c r="GWB90" s="222"/>
      <c r="GWC90" s="223"/>
      <c r="GWD90" s="223"/>
      <c r="GWE90" s="224"/>
      <c r="GWF90" s="223"/>
      <c r="GWG90" s="223"/>
      <c r="GWH90" s="223"/>
      <c r="GWI90" s="223"/>
      <c r="GWJ90" s="225"/>
      <c r="GWK90" s="220"/>
      <c r="GWL90" s="221"/>
      <c r="GWM90" s="222"/>
      <c r="GWN90" s="222"/>
      <c r="GWO90" s="223"/>
      <c r="GWP90" s="223"/>
      <c r="GWQ90" s="224"/>
      <c r="GWR90" s="223"/>
      <c r="GWS90" s="223"/>
      <c r="GWT90" s="223"/>
      <c r="GWU90" s="223"/>
      <c r="GWV90" s="225"/>
      <c r="GWW90" s="220"/>
      <c r="GWX90" s="221"/>
      <c r="GWY90" s="222"/>
      <c r="GWZ90" s="222"/>
      <c r="GXA90" s="223"/>
      <c r="GXB90" s="223"/>
      <c r="GXC90" s="224"/>
      <c r="GXD90" s="223"/>
      <c r="GXE90" s="223"/>
      <c r="GXF90" s="223"/>
      <c r="GXG90" s="223"/>
      <c r="GXH90" s="225"/>
      <c r="GXI90" s="220"/>
      <c r="GXJ90" s="221"/>
      <c r="GXK90" s="222"/>
      <c r="GXL90" s="222"/>
      <c r="GXM90" s="223"/>
      <c r="GXN90" s="223"/>
      <c r="GXO90" s="224"/>
      <c r="GXP90" s="223"/>
      <c r="GXQ90" s="223"/>
      <c r="GXR90" s="223"/>
      <c r="GXS90" s="223"/>
      <c r="GXT90" s="225"/>
      <c r="GXU90" s="220"/>
      <c r="GXV90" s="221"/>
      <c r="GXW90" s="222"/>
      <c r="GXX90" s="222"/>
      <c r="GXY90" s="223"/>
      <c r="GXZ90" s="223"/>
      <c r="GYA90" s="224"/>
      <c r="GYB90" s="223"/>
      <c r="GYC90" s="223"/>
      <c r="GYD90" s="223"/>
      <c r="GYE90" s="223"/>
      <c r="GYF90" s="225"/>
      <c r="GYG90" s="220"/>
      <c r="GYH90" s="221"/>
      <c r="GYI90" s="222"/>
      <c r="GYJ90" s="222"/>
      <c r="GYK90" s="223"/>
      <c r="GYL90" s="223"/>
      <c r="GYM90" s="224"/>
      <c r="GYN90" s="223"/>
      <c r="GYO90" s="223"/>
      <c r="GYP90" s="223"/>
      <c r="GYQ90" s="223"/>
      <c r="GYR90" s="225"/>
      <c r="GYS90" s="220"/>
      <c r="GYT90" s="221"/>
      <c r="GYU90" s="222"/>
      <c r="GYV90" s="222"/>
      <c r="GYW90" s="223"/>
      <c r="GYX90" s="223"/>
      <c r="GYY90" s="224"/>
      <c r="GYZ90" s="223"/>
      <c r="GZA90" s="223"/>
      <c r="GZB90" s="223"/>
      <c r="GZC90" s="223"/>
      <c r="GZD90" s="225"/>
      <c r="GZE90" s="220"/>
      <c r="GZF90" s="221"/>
      <c r="GZG90" s="222"/>
      <c r="GZH90" s="222"/>
      <c r="GZI90" s="223"/>
      <c r="GZJ90" s="223"/>
      <c r="GZK90" s="224"/>
      <c r="GZL90" s="223"/>
      <c r="GZM90" s="223"/>
      <c r="GZN90" s="223"/>
      <c r="GZO90" s="223"/>
      <c r="GZP90" s="225"/>
      <c r="GZQ90" s="220"/>
      <c r="GZR90" s="221"/>
      <c r="GZS90" s="222"/>
      <c r="GZT90" s="222"/>
      <c r="GZU90" s="223"/>
      <c r="GZV90" s="223"/>
      <c r="GZW90" s="224"/>
      <c r="GZX90" s="223"/>
      <c r="GZY90" s="223"/>
      <c r="GZZ90" s="223"/>
      <c r="HAA90" s="223"/>
      <c r="HAB90" s="225"/>
      <c r="HAC90" s="220"/>
      <c r="HAD90" s="221"/>
      <c r="HAE90" s="222"/>
      <c r="HAF90" s="222"/>
      <c r="HAG90" s="223"/>
      <c r="HAH90" s="223"/>
      <c r="HAI90" s="224"/>
      <c r="HAJ90" s="223"/>
      <c r="HAK90" s="223"/>
      <c r="HAL90" s="223"/>
      <c r="HAM90" s="223"/>
      <c r="HAN90" s="225"/>
      <c r="HAO90" s="220"/>
      <c r="HAP90" s="221"/>
      <c r="HAQ90" s="222"/>
      <c r="HAR90" s="222"/>
      <c r="HAS90" s="223"/>
      <c r="HAT90" s="223"/>
      <c r="HAU90" s="224"/>
      <c r="HAV90" s="223"/>
      <c r="HAW90" s="223"/>
      <c r="HAX90" s="223"/>
      <c r="HAY90" s="223"/>
      <c r="HAZ90" s="225"/>
      <c r="HBA90" s="220"/>
      <c r="HBB90" s="221"/>
      <c r="HBC90" s="222"/>
      <c r="HBD90" s="222"/>
      <c r="HBE90" s="223"/>
      <c r="HBF90" s="223"/>
      <c r="HBG90" s="224"/>
      <c r="HBH90" s="223"/>
      <c r="HBI90" s="223"/>
      <c r="HBJ90" s="223"/>
      <c r="HBK90" s="223"/>
      <c r="HBL90" s="225"/>
      <c r="HBM90" s="220"/>
      <c r="HBN90" s="221"/>
      <c r="HBO90" s="222"/>
      <c r="HBP90" s="222"/>
      <c r="HBQ90" s="223"/>
      <c r="HBR90" s="223"/>
      <c r="HBS90" s="224"/>
      <c r="HBT90" s="223"/>
      <c r="HBU90" s="223"/>
      <c r="HBV90" s="223"/>
      <c r="HBW90" s="223"/>
      <c r="HBX90" s="225"/>
      <c r="HBY90" s="220"/>
      <c r="HBZ90" s="221"/>
      <c r="HCA90" s="222"/>
      <c r="HCB90" s="222"/>
      <c r="HCC90" s="223"/>
      <c r="HCD90" s="223"/>
      <c r="HCE90" s="224"/>
      <c r="HCF90" s="223"/>
      <c r="HCG90" s="223"/>
      <c r="HCH90" s="223"/>
      <c r="HCI90" s="223"/>
      <c r="HCJ90" s="225"/>
      <c r="HCK90" s="220"/>
      <c r="HCL90" s="221"/>
      <c r="HCM90" s="222"/>
      <c r="HCN90" s="222"/>
      <c r="HCO90" s="223"/>
      <c r="HCP90" s="223"/>
      <c r="HCQ90" s="224"/>
      <c r="HCR90" s="223"/>
      <c r="HCS90" s="223"/>
      <c r="HCT90" s="223"/>
      <c r="HCU90" s="223"/>
      <c r="HCV90" s="225"/>
      <c r="HCW90" s="220"/>
      <c r="HCX90" s="221"/>
      <c r="HCY90" s="222"/>
      <c r="HCZ90" s="222"/>
      <c r="HDA90" s="223"/>
      <c r="HDB90" s="223"/>
      <c r="HDC90" s="224"/>
      <c r="HDD90" s="223"/>
      <c r="HDE90" s="223"/>
      <c r="HDF90" s="223"/>
      <c r="HDG90" s="223"/>
      <c r="HDH90" s="225"/>
      <c r="HDI90" s="220"/>
      <c r="HDJ90" s="221"/>
      <c r="HDK90" s="222"/>
      <c r="HDL90" s="222"/>
      <c r="HDM90" s="223"/>
      <c r="HDN90" s="223"/>
      <c r="HDO90" s="224"/>
      <c r="HDP90" s="223"/>
      <c r="HDQ90" s="223"/>
      <c r="HDR90" s="223"/>
      <c r="HDS90" s="223"/>
      <c r="HDT90" s="225"/>
      <c r="HDU90" s="220"/>
      <c r="HDV90" s="221"/>
      <c r="HDW90" s="222"/>
      <c r="HDX90" s="222"/>
      <c r="HDY90" s="223"/>
      <c r="HDZ90" s="223"/>
      <c r="HEA90" s="224"/>
      <c r="HEB90" s="223"/>
      <c r="HEC90" s="223"/>
      <c r="HED90" s="223"/>
      <c r="HEE90" s="223"/>
      <c r="HEF90" s="225"/>
      <c r="HEG90" s="220"/>
      <c r="HEH90" s="221"/>
      <c r="HEI90" s="222"/>
      <c r="HEJ90" s="222"/>
      <c r="HEK90" s="223"/>
      <c r="HEL90" s="223"/>
      <c r="HEM90" s="224"/>
      <c r="HEN90" s="223"/>
      <c r="HEO90" s="223"/>
      <c r="HEP90" s="223"/>
      <c r="HEQ90" s="223"/>
      <c r="HER90" s="225"/>
      <c r="HES90" s="220"/>
      <c r="HET90" s="221"/>
      <c r="HEU90" s="222"/>
      <c r="HEV90" s="222"/>
      <c r="HEW90" s="223"/>
      <c r="HEX90" s="223"/>
      <c r="HEY90" s="224"/>
      <c r="HEZ90" s="223"/>
      <c r="HFA90" s="223"/>
      <c r="HFB90" s="223"/>
      <c r="HFC90" s="223"/>
      <c r="HFD90" s="225"/>
      <c r="HFE90" s="220"/>
      <c r="HFF90" s="221"/>
      <c r="HFG90" s="222"/>
      <c r="HFH90" s="222"/>
      <c r="HFI90" s="223"/>
      <c r="HFJ90" s="223"/>
      <c r="HFK90" s="224"/>
      <c r="HFL90" s="223"/>
      <c r="HFM90" s="223"/>
      <c r="HFN90" s="223"/>
      <c r="HFO90" s="223"/>
      <c r="HFP90" s="225"/>
      <c r="HFQ90" s="220"/>
      <c r="HFR90" s="221"/>
      <c r="HFS90" s="222"/>
      <c r="HFT90" s="222"/>
      <c r="HFU90" s="223"/>
      <c r="HFV90" s="223"/>
      <c r="HFW90" s="224"/>
      <c r="HFX90" s="223"/>
      <c r="HFY90" s="223"/>
      <c r="HFZ90" s="223"/>
      <c r="HGA90" s="223"/>
      <c r="HGB90" s="225"/>
      <c r="HGC90" s="220"/>
      <c r="HGD90" s="221"/>
      <c r="HGE90" s="222"/>
      <c r="HGF90" s="222"/>
      <c r="HGG90" s="223"/>
      <c r="HGH90" s="223"/>
      <c r="HGI90" s="224"/>
      <c r="HGJ90" s="223"/>
      <c r="HGK90" s="223"/>
      <c r="HGL90" s="223"/>
      <c r="HGM90" s="223"/>
      <c r="HGN90" s="225"/>
      <c r="HGO90" s="220"/>
      <c r="HGP90" s="221"/>
      <c r="HGQ90" s="222"/>
      <c r="HGR90" s="222"/>
      <c r="HGS90" s="223"/>
      <c r="HGT90" s="223"/>
      <c r="HGU90" s="224"/>
      <c r="HGV90" s="223"/>
      <c r="HGW90" s="223"/>
      <c r="HGX90" s="223"/>
      <c r="HGY90" s="223"/>
      <c r="HGZ90" s="225"/>
      <c r="HHA90" s="220"/>
      <c r="HHB90" s="221"/>
      <c r="HHC90" s="222"/>
      <c r="HHD90" s="222"/>
      <c r="HHE90" s="223"/>
      <c r="HHF90" s="223"/>
      <c r="HHG90" s="224"/>
      <c r="HHH90" s="223"/>
      <c r="HHI90" s="223"/>
      <c r="HHJ90" s="223"/>
      <c r="HHK90" s="223"/>
      <c r="HHL90" s="225"/>
      <c r="HHM90" s="220"/>
      <c r="HHN90" s="221"/>
      <c r="HHO90" s="222"/>
      <c r="HHP90" s="222"/>
      <c r="HHQ90" s="223"/>
      <c r="HHR90" s="223"/>
      <c r="HHS90" s="224"/>
      <c r="HHT90" s="223"/>
      <c r="HHU90" s="223"/>
      <c r="HHV90" s="223"/>
      <c r="HHW90" s="223"/>
      <c r="HHX90" s="225"/>
      <c r="HHY90" s="220"/>
      <c r="HHZ90" s="221"/>
      <c r="HIA90" s="222"/>
      <c r="HIB90" s="222"/>
      <c r="HIC90" s="223"/>
      <c r="HID90" s="223"/>
      <c r="HIE90" s="224"/>
      <c r="HIF90" s="223"/>
      <c r="HIG90" s="223"/>
      <c r="HIH90" s="223"/>
      <c r="HII90" s="223"/>
      <c r="HIJ90" s="225"/>
      <c r="HIK90" s="220"/>
      <c r="HIL90" s="221"/>
      <c r="HIM90" s="222"/>
      <c r="HIN90" s="222"/>
      <c r="HIO90" s="223"/>
      <c r="HIP90" s="223"/>
      <c r="HIQ90" s="224"/>
      <c r="HIR90" s="223"/>
      <c r="HIS90" s="223"/>
      <c r="HIT90" s="223"/>
      <c r="HIU90" s="223"/>
      <c r="HIV90" s="225"/>
      <c r="HIW90" s="220"/>
      <c r="HIX90" s="221"/>
      <c r="HIY90" s="222"/>
      <c r="HIZ90" s="222"/>
      <c r="HJA90" s="223"/>
      <c r="HJB90" s="223"/>
      <c r="HJC90" s="224"/>
      <c r="HJD90" s="223"/>
      <c r="HJE90" s="223"/>
      <c r="HJF90" s="223"/>
      <c r="HJG90" s="223"/>
      <c r="HJH90" s="225"/>
      <c r="HJI90" s="220"/>
      <c r="HJJ90" s="221"/>
      <c r="HJK90" s="222"/>
      <c r="HJL90" s="222"/>
      <c r="HJM90" s="223"/>
      <c r="HJN90" s="223"/>
      <c r="HJO90" s="224"/>
      <c r="HJP90" s="223"/>
      <c r="HJQ90" s="223"/>
      <c r="HJR90" s="223"/>
      <c r="HJS90" s="223"/>
      <c r="HJT90" s="225"/>
      <c r="HJU90" s="220"/>
      <c r="HJV90" s="221"/>
      <c r="HJW90" s="222"/>
      <c r="HJX90" s="222"/>
      <c r="HJY90" s="223"/>
      <c r="HJZ90" s="223"/>
      <c r="HKA90" s="224"/>
      <c r="HKB90" s="223"/>
      <c r="HKC90" s="223"/>
      <c r="HKD90" s="223"/>
      <c r="HKE90" s="223"/>
      <c r="HKF90" s="225"/>
      <c r="HKG90" s="220"/>
      <c r="HKH90" s="221"/>
      <c r="HKI90" s="222"/>
      <c r="HKJ90" s="222"/>
      <c r="HKK90" s="223"/>
      <c r="HKL90" s="223"/>
      <c r="HKM90" s="224"/>
      <c r="HKN90" s="223"/>
      <c r="HKO90" s="223"/>
      <c r="HKP90" s="223"/>
      <c r="HKQ90" s="223"/>
      <c r="HKR90" s="225"/>
      <c r="HKS90" s="220"/>
      <c r="HKT90" s="221"/>
      <c r="HKU90" s="222"/>
      <c r="HKV90" s="222"/>
      <c r="HKW90" s="223"/>
      <c r="HKX90" s="223"/>
      <c r="HKY90" s="224"/>
      <c r="HKZ90" s="223"/>
      <c r="HLA90" s="223"/>
      <c r="HLB90" s="223"/>
      <c r="HLC90" s="223"/>
      <c r="HLD90" s="225"/>
      <c r="HLE90" s="220"/>
      <c r="HLF90" s="221"/>
      <c r="HLG90" s="222"/>
      <c r="HLH90" s="222"/>
      <c r="HLI90" s="223"/>
      <c r="HLJ90" s="223"/>
      <c r="HLK90" s="224"/>
      <c r="HLL90" s="223"/>
      <c r="HLM90" s="223"/>
      <c r="HLN90" s="223"/>
      <c r="HLO90" s="223"/>
      <c r="HLP90" s="225"/>
      <c r="HLQ90" s="220"/>
      <c r="HLR90" s="221"/>
      <c r="HLS90" s="222"/>
      <c r="HLT90" s="222"/>
      <c r="HLU90" s="223"/>
      <c r="HLV90" s="223"/>
      <c r="HLW90" s="224"/>
      <c r="HLX90" s="223"/>
      <c r="HLY90" s="223"/>
      <c r="HLZ90" s="223"/>
      <c r="HMA90" s="223"/>
      <c r="HMB90" s="225"/>
      <c r="HMC90" s="220"/>
      <c r="HMD90" s="221"/>
      <c r="HME90" s="222"/>
      <c r="HMF90" s="222"/>
      <c r="HMG90" s="223"/>
      <c r="HMH90" s="223"/>
      <c r="HMI90" s="224"/>
      <c r="HMJ90" s="223"/>
      <c r="HMK90" s="223"/>
      <c r="HML90" s="223"/>
      <c r="HMM90" s="223"/>
      <c r="HMN90" s="225"/>
      <c r="HMO90" s="220"/>
      <c r="HMP90" s="221"/>
      <c r="HMQ90" s="222"/>
      <c r="HMR90" s="222"/>
      <c r="HMS90" s="223"/>
      <c r="HMT90" s="223"/>
      <c r="HMU90" s="224"/>
      <c r="HMV90" s="223"/>
      <c r="HMW90" s="223"/>
      <c r="HMX90" s="223"/>
      <c r="HMY90" s="223"/>
      <c r="HMZ90" s="225"/>
      <c r="HNA90" s="220"/>
      <c r="HNB90" s="221"/>
      <c r="HNC90" s="222"/>
      <c r="HND90" s="222"/>
      <c r="HNE90" s="223"/>
      <c r="HNF90" s="223"/>
      <c r="HNG90" s="224"/>
      <c r="HNH90" s="223"/>
      <c r="HNI90" s="223"/>
      <c r="HNJ90" s="223"/>
      <c r="HNK90" s="223"/>
      <c r="HNL90" s="225"/>
      <c r="HNM90" s="220"/>
      <c r="HNN90" s="221"/>
      <c r="HNO90" s="222"/>
      <c r="HNP90" s="222"/>
      <c r="HNQ90" s="223"/>
      <c r="HNR90" s="223"/>
      <c r="HNS90" s="224"/>
      <c r="HNT90" s="223"/>
      <c r="HNU90" s="223"/>
      <c r="HNV90" s="223"/>
      <c r="HNW90" s="223"/>
      <c r="HNX90" s="225"/>
      <c r="HNY90" s="220"/>
      <c r="HNZ90" s="221"/>
      <c r="HOA90" s="222"/>
      <c r="HOB90" s="222"/>
      <c r="HOC90" s="223"/>
      <c r="HOD90" s="223"/>
      <c r="HOE90" s="224"/>
      <c r="HOF90" s="223"/>
      <c r="HOG90" s="223"/>
      <c r="HOH90" s="223"/>
      <c r="HOI90" s="223"/>
      <c r="HOJ90" s="225"/>
      <c r="HOK90" s="220"/>
      <c r="HOL90" s="221"/>
      <c r="HOM90" s="222"/>
      <c r="HON90" s="222"/>
      <c r="HOO90" s="223"/>
      <c r="HOP90" s="223"/>
      <c r="HOQ90" s="224"/>
      <c r="HOR90" s="223"/>
      <c r="HOS90" s="223"/>
      <c r="HOT90" s="223"/>
      <c r="HOU90" s="223"/>
      <c r="HOV90" s="225"/>
      <c r="HOW90" s="220"/>
      <c r="HOX90" s="221"/>
      <c r="HOY90" s="222"/>
      <c r="HOZ90" s="222"/>
      <c r="HPA90" s="223"/>
      <c r="HPB90" s="223"/>
      <c r="HPC90" s="224"/>
      <c r="HPD90" s="223"/>
      <c r="HPE90" s="223"/>
      <c r="HPF90" s="223"/>
      <c r="HPG90" s="223"/>
      <c r="HPH90" s="225"/>
      <c r="HPI90" s="220"/>
      <c r="HPJ90" s="221"/>
      <c r="HPK90" s="222"/>
      <c r="HPL90" s="222"/>
      <c r="HPM90" s="223"/>
      <c r="HPN90" s="223"/>
      <c r="HPO90" s="224"/>
      <c r="HPP90" s="223"/>
      <c r="HPQ90" s="223"/>
      <c r="HPR90" s="223"/>
      <c r="HPS90" s="223"/>
      <c r="HPT90" s="225"/>
      <c r="HPU90" s="220"/>
      <c r="HPV90" s="221"/>
      <c r="HPW90" s="222"/>
      <c r="HPX90" s="222"/>
      <c r="HPY90" s="223"/>
      <c r="HPZ90" s="223"/>
      <c r="HQA90" s="224"/>
      <c r="HQB90" s="223"/>
      <c r="HQC90" s="223"/>
      <c r="HQD90" s="223"/>
      <c r="HQE90" s="223"/>
      <c r="HQF90" s="225"/>
      <c r="HQG90" s="220"/>
      <c r="HQH90" s="221"/>
      <c r="HQI90" s="222"/>
      <c r="HQJ90" s="222"/>
      <c r="HQK90" s="223"/>
      <c r="HQL90" s="223"/>
      <c r="HQM90" s="224"/>
      <c r="HQN90" s="223"/>
      <c r="HQO90" s="223"/>
      <c r="HQP90" s="223"/>
      <c r="HQQ90" s="223"/>
      <c r="HQR90" s="225"/>
      <c r="HQS90" s="220"/>
      <c r="HQT90" s="221"/>
      <c r="HQU90" s="222"/>
      <c r="HQV90" s="222"/>
      <c r="HQW90" s="223"/>
      <c r="HQX90" s="223"/>
      <c r="HQY90" s="224"/>
      <c r="HQZ90" s="223"/>
      <c r="HRA90" s="223"/>
      <c r="HRB90" s="223"/>
      <c r="HRC90" s="223"/>
      <c r="HRD90" s="225"/>
      <c r="HRE90" s="220"/>
      <c r="HRF90" s="221"/>
      <c r="HRG90" s="222"/>
      <c r="HRH90" s="222"/>
      <c r="HRI90" s="223"/>
      <c r="HRJ90" s="223"/>
      <c r="HRK90" s="224"/>
      <c r="HRL90" s="223"/>
      <c r="HRM90" s="223"/>
      <c r="HRN90" s="223"/>
      <c r="HRO90" s="223"/>
      <c r="HRP90" s="225"/>
      <c r="HRQ90" s="220"/>
      <c r="HRR90" s="221"/>
      <c r="HRS90" s="222"/>
      <c r="HRT90" s="222"/>
      <c r="HRU90" s="223"/>
      <c r="HRV90" s="223"/>
      <c r="HRW90" s="224"/>
      <c r="HRX90" s="223"/>
      <c r="HRY90" s="223"/>
      <c r="HRZ90" s="223"/>
      <c r="HSA90" s="223"/>
      <c r="HSB90" s="225"/>
      <c r="HSC90" s="220"/>
      <c r="HSD90" s="221"/>
      <c r="HSE90" s="222"/>
      <c r="HSF90" s="222"/>
      <c r="HSG90" s="223"/>
      <c r="HSH90" s="223"/>
      <c r="HSI90" s="224"/>
      <c r="HSJ90" s="223"/>
      <c r="HSK90" s="223"/>
      <c r="HSL90" s="223"/>
      <c r="HSM90" s="223"/>
      <c r="HSN90" s="225"/>
      <c r="HSO90" s="220"/>
      <c r="HSP90" s="221"/>
      <c r="HSQ90" s="222"/>
      <c r="HSR90" s="222"/>
      <c r="HSS90" s="223"/>
      <c r="HST90" s="223"/>
      <c r="HSU90" s="224"/>
      <c r="HSV90" s="223"/>
      <c r="HSW90" s="223"/>
      <c r="HSX90" s="223"/>
      <c r="HSY90" s="223"/>
      <c r="HSZ90" s="225"/>
      <c r="HTA90" s="220"/>
      <c r="HTB90" s="221"/>
      <c r="HTC90" s="222"/>
      <c r="HTD90" s="222"/>
      <c r="HTE90" s="223"/>
      <c r="HTF90" s="223"/>
      <c r="HTG90" s="224"/>
      <c r="HTH90" s="223"/>
      <c r="HTI90" s="223"/>
      <c r="HTJ90" s="223"/>
      <c r="HTK90" s="223"/>
      <c r="HTL90" s="225"/>
      <c r="HTM90" s="220"/>
      <c r="HTN90" s="221"/>
      <c r="HTO90" s="222"/>
      <c r="HTP90" s="222"/>
      <c r="HTQ90" s="223"/>
      <c r="HTR90" s="223"/>
      <c r="HTS90" s="224"/>
      <c r="HTT90" s="223"/>
      <c r="HTU90" s="223"/>
      <c r="HTV90" s="223"/>
      <c r="HTW90" s="223"/>
      <c r="HTX90" s="225"/>
      <c r="HTY90" s="220"/>
      <c r="HTZ90" s="221"/>
      <c r="HUA90" s="222"/>
      <c r="HUB90" s="222"/>
      <c r="HUC90" s="223"/>
      <c r="HUD90" s="223"/>
      <c r="HUE90" s="224"/>
      <c r="HUF90" s="223"/>
      <c r="HUG90" s="223"/>
      <c r="HUH90" s="223"/>
      <c r="HUI90" s="223"/>
      <c r="HUJ90" s="225"/>
      <c r="HUK90" s="220"/>
      <c r="HUL90" s="221"/>
      <c r="HUM90" s="222"/>
      <c r="HUN90" s="222"/>
      <c r="HUO90" s="223"/>
      <c r="HUP90" s="223"/>
      <c r="HUQ90" s="224"/>
      <c r="HUR90" s="223"/>
      <c r="HUS90" s="223"/>
      <c r="HUT90" s="223"/>
      <c r="HUU90" s="223"/>
      <c r="HUV90" s="225"/>
      <c r="HUW90" s="220"/>
      <c r="HUX90" s="221"/>
      <c r="HUY90" s="222"/>
      <c r="HUZ90" s="222"/>
      <c r="HVA90" s="223"/>
      <c r="HVB90" s="223"/>
      <c r="HVC90" s="224"/>
      <c r="HVD90" s="223"/>
      <c r="HVE90" s="223"/>
      <c r="HVF90" s="223"/>
      <c r="HVG90" s="223"/>
      <c r="HVH90" s="225"/>
      <c r="HVI90" s="220"/>
      <c r="HVJ90" s="221"/>
      <c r="HVK90" s="222"/>
      <c r="HVL90" s="222"/>
      <c r="HVM90" s="223"/>
      <c r="HVN90" s="223"/>
      <c r="HVO90" s="224"/>
      <c r="HVP90" s="223"/>
      <c r="HVQ90" s="223"/>
      <c r="HVR90" s="223"/>
      <c r="HVS90" s="223"/>
      <c r="HVT90" s="225"/>
      <c r="HVU90" s="220"/>
      <c r="HVV90" s="221"/>
      <c r="HVW90" s="222"/>
      <c r="HVX90" s="222"/>
      <c r="HVY90" s="223"/>
      <c r="HVZ90" s="223"/>
      <c r="HWA90" s="224"/>
      <c r="HWB90" s="223"/>
      <c r="HWC90" s="223"/>
      <c r="HWD90" s="223"/>
      <c r="HWE90" s="223"/>
      <c r="HWF90" s="225"/>
      <c r="HWG90" s="220"/>
      <c r="HWH90" s="221"/>
      <c r="HWI90" s="222"/>
      <c r="HWJ90" s="222"/>
      <c r="HWK90" s="223"/>
      <c r="HWL90" s="223"/>
      <c r="HWM90" s="224"/>
      <c r="HWN90" s="223"/>
      <c r="HWO90" s="223"/>
      <c r="HWP90" s="223"/>
      <c r="HWQ90" s="223"/>
      <c r="HWR90" s="225"/>
      <c r="HWS90" s="220"/>
      <c r="HWT90" s="221"/>
      <c r="HWU90" s="222"/>
      <c r="HWV90" s="222"/>
      <c r="HWW90" s="223"/>
      <c r="HWX90" s="223"/>
      <c r="HWY90" s="224"/>
      <c r="HWZ90" s="223"/>
      <c r="HXA90" s="223"/>
      <c r="HXB90" s="223"/>
      <c r="HXC90" s="223"/>
      <c r="HXD90" s="225"/>
      <c r="HXE90" s="220"/>
      <c r="HXF90" s="221"/>
      <c r="HXG90" s="222"/>
      <c r="HXH90" s="222"/>
      <c r="HXI90" s="223"/>
      <c r="HXJ90" s="223"/>
      <c r="HXK90" s="224"/>
      <c r="HXL90" s="223"/>
      <c r="HXM90" s="223"/>
      <c r="HXN90" s="223"/>
      <c r="HXO90" s="223"/>
      <c r="HXP90" s="225"/>
      <c r="HXQ90" s="220"/>
      <c r="HXR90" s="221"/>
      <c r="HXS90" s="222"/>
      <c r="HXT90" s="222"/>
      <c r="HXU90" s="223"/>
      <c r="HXV90" s="223"/>
      <c r="HXW90" s="224"/>
      <c r="HXX90" s="223"/>
      <c r="HXY90" s="223"/>
      <c r="HXZ90" s="223"/>
      <c r="HYA90" s="223"/>
      <c r="HYB90" s="225"/>
      <c r="HYC90" s="220"/>
      <c r="HYD90" s="221"/>
      <c r="HYE90" s="222"/>
      <c r="HYF90" s="222"/>
      <c r="HYG90" s="223"/>
      <c r="HYH90" s="223"/>
      <c r="HYI90" s="224"/>
      <c r="HYJ90" s="223"/>
      <c r="HYK90" s="223"/>
      <c r="HYL90" s="223"/>
      <c r="HYM90" s="223"/>
      <c r="HYN90" s="225"/>
      <c r="HYO90" s="220"/>
      <c r="HYP90" s="221"/>
      <c r="HYQ90" s="222"/>
      <c r="HYR90" s="222"/>
      <c r="HYS90" s="223"/>
      <c r="HYT90" s="223"/>
      <c r="HYU90" s="224"/>
      <c r="HYV90" s="223"/>
      <c r="HYW90" s="223"/>
      <c r="HYX90" s="223"/>
      <c r="HYY90" s="223"/>
      <c r="HYZ90" s="225"/>
      <c r="HZA90" s="220"/>
      <c r="HZB90" s="221"/>
      <c r="HZC90" s="222"/>
      <c r="HZD90" s="222"/>
      <c r="HZE90" s="223"/>
      <c r="HZF90" s="223"/>
      <c r="HZG90" s="224"/>
      <c r="HZH90" s="223"/>
      <c r="HZI90" s="223"/>
      <c r="HZJ90" s="223"/>
      <c r="HZK90" s="223"/>
      <c r="HZL90" s="225"/>
      <c r="HZM90" s="220"/>
      <c r="HZN90" s="221"/>
      <c r="HZO90" s="222"/>
      <c r="HZP90" s="222"/>
      <c r="HZQ90" s="223"/>
      <c r="HZR90" s="223"/>
      <c r="HZS90" s="224"/>
      <c r="HZT90" s="223"/>
      <c r="HZU90" s="223"/>
      <c r="HZV90" s="223"/>
      <c r="HZW90" s="223"/>
      <c r="HZX90" s="225"/>
      <c r="HZY90" s="220"/>
      <c r="HZZ90" s="221"/>
      <c r="IAA90" s="222"/>
      <c r="IAB90" s="222"/>
      <c r="IAC90" s="223"/>
      <c r="IAD90" s="223"/>
      <c r="IAE90" s="224"/>
      <c r="IAF90" s="223"/>
      <c r="IAG90" s="223"/>
      <c r="IAH90" s="223"/>
      <c r="IAI90" s="223"/>
      <c r="IAJ90" s="225"/>
      <c r="IAK90" s="220"/>
      <c r="IAL90" s="221"/>
      <c r="IAM90" s="222"/>
      <c r="IAN90" s="222"/>
      <c r="IAO90" s="223"/>
      <c r="IAP90" s="223"/>
      <c r="IAQ90" s="224"/>
      <c r="IAR90" s="223"/>
      <c r="IAS90" s="223"/>
      <c r="IAT90" s="223"/>
      <c r="IAU90" s="223"/>
      <c r="IAV90" s="225"/>
      <c r="IAW90" s="220"/>
      <c r="IAX90" s="221"/>
      <c r="IAY90" s="222"/>
      <c r="IAZ90" s="222"/>
      <c r="IBA90" s="223"/>
      <c r="IBB90" s="223"/>
      <c r="IBC90" s="224"/>
      <c r="IBD90" s="223"/>
      <c r="IBE90" s="223"/>
      <c r="IBF90" s="223"/>
      <c r="IBG90" s="223"/>
      <c r="IBH90" s="225"/>
      <c r="IBI90" s="220"/>
      <c r="IBJ90" s="221"/>
      <c r="IBK90" s="222"/>
      <c r="IBL90" s="222"/>
      <c r="IBM90" s="223"/>
      <c r="IBN90" s="223"/>
      <c r="IBO90" s="224"/>
      <c r="IBP90" s="223"/>
      <c r="IBQ90" s="223"/>
      <c r="IBR90" s="223"/>
      <c r="IBS90" s="223"/>
      <c r="IBT90" s="225"/>
      <c r="IBU90" s="220"/>
      <c r="IBV90" s="221"/>
      <c r="IBW90" s="222"/>
      <c r="IBX90" s="222"/>
      <c r="IBY90" s="223"/>
      <c r="IBZ90" s="223"/>
      <c r="ICA90" s="224"/>
      <c r="ICB90" s="223"/>
      <c r="ICC90" s="223"/>
      <c r="ICD90" s="223"/>
      <c r="ICE90" s="223"/>
      <c r="ICF90" s="225"/>
      <c r="ICG90" s="220"/>
      <c r="ICH90" s="221"/>
      <c r="ICI90" s="222"/>
      <c r="ICJ90" s="222"/>
      <c r="ICK90" s="223"/>
      <c r="ICL90" s="223"/>
      <c r="ICM90" s="224"/>
      <c r="ICN90" s="223"/>
      <c r="ICO90" s="223"/>
      <c r="ICP90" s="223"/>
      <c r="ICQ90" s="223"/>
      <c r="ICR90" s="225"/>
      <c r="ICS90" s="220"/>
      <c r="ICT90" s="221"/>
      <c r="ICU90" s="222"/>
      <c r="ICV90" s="222"/>
      <c r="ICW90" s="223"/>
      <c r="ICX90" s="223"/>
      <c r="ICY90" s="224"/>
      <c r="ICZ90" s="223"/>
      <c r="IDA90" s="223"/>
      <c r="IDB90" s="223"/>
      <c r="IDC90" s="223"/>
      <c r="IDD90" s="225"/>
      <c r="IDE90" s="220"/>
      <c r="IDF90" s="221"/>
      <c r="IDG90" s="222"/>
      <c r="IDH90" s="222"/>
      <c r="IDI90" s="223"/>
      <c r="IDJ90" s="223"/>
      <c r="IDK90" s="224"/>
      <c r="IDL90" s="223"/>
      <c r="IDM90" s="223"/>
      <c r="IDN90" s="223"/>
      <c r="IDO90" s="223"/>
      <c r="IDP90" s="225"/>
      <c r="IDQ90" s="220"/>
      <c r="IDR90" s="221"/>
      <c r="IDS90" s="222"/>
      <c r="IDT90" s="222"/>
      <c r="IDU90" s="223"/>
      <c r="IDV90" s="223"/>
      <c r="IDW90" s="224"/>
      <c r="IDX90" s="223"/>
      <c r="IDY90" s="223"/>
      <c r="IDZ90" s="223"/>
      <c r="IEA90" s="223"/>
      <c r="IEB90" s="225"/>
      <c r="IEC90" s="220"/>
      <c r="IED90" s="221"/>
      <c r="IEE90" s="222"/>
      <c r="IEF90" s="222"/>
      <c r="IEG90" s="223"/>
      <c r="IEH90" s="223"/>
      <c r="IEI90" s="224"/>
      <c r="IEJ90" s="223"/>
      <c r="IEK90" s="223"/>
      <c r="IEL90" s="223"/>
      <c r="IEM90" s="223"/>
      <c r="IEN90" s="225"/>
      <c r="IEO90" s="220"/>
      <c r="IEP90" s="221"/>
      <c r="IEQ90" s="222"/>
      <c r="IER90" s="222"/>
      <c r="IES90" s="223"/>
      <c r="IET90" s="223"/>
      <c r="IEU90" s="224"/>
      <c r="IEV90" s="223"/>
      <c r="IEW90" s="223"/>
      <c r="IEX90" s="223"/>
      <c r="IEY90" s="223"/>
      <c r="IEZ90" s="225"/>
      <c r="IFA90" s="220"/>
      <c r="IFB90" s="221"/>
      <c r="IFC90" s="222"/>
      <c r="IFD90" s="222"/>
      <c r="IFE90" s="223"/>
      <c r="IFF90" s="223"/>
      <c r="IFG90" s="224"/>
      <c r="IFH90" s="223"/>
      <c r="IFI90" s="223"/>
      <c r="IFJ90" s="223"/>
      <c r="IFK90" s="223"/>
      <c r="IFL90" s="225"/>
      <c r="IFM90" s="220"/>
      <c r="IFN90" s="221"/>
      <c r="IFO90" s="222"/>
      <c r="IFP90" s="222"/>
      <c r="IFQ90" s="223"/>
      <c r="IFR90" s="223"/>
      <c r="IFS90" s="224"/>
      <c r="IFT90" s="223"/>
      <c r="IFU90" s="223"/>
      <c r="IFV90" s="223"/>
      <c r="IFW90" s="223"/>
      <c r="IFX90" s="225"/>
      <c r="IFY90" s="220"/>
      <c r="IFZ90" s="221"/>
      <c r="IGA90" s="222"/>
      <c r="IGB90" s="222"/>
      <c r="IGC90" s="223"/>
      <c r="IGD90" s="223"/>
      <c r="IGE90" s="224"/>
      <c r="IGF90" s="223"/>
      <c r="IGG90" s="223"/>
      <c r="IGH90" s="223"/>
      <c r="IGI90" s="223"/>
      <c r="IGJ90" s="225"/>
      <c r="IGK90" s="220"/>
      <c r="IGL90" s="221"/>
      <c r="IGM90" s="222"/>
      <c r="IGN90" s="222"/>
      <c r="IGO90" s="223"/>
      <c r="IGP90" s="223"/>
      <c r="IGQ90" s="224"/>
      <c r="IGR90" s="223"/>
      <c r="IGS90" s="223"/>
      <c r="IGT90" s="223"/>
      <c r="IGU90" s="223"/>
      <c r="IGV90" s="225"/>
      <c r="IGW90" s="220"/>
      <c r="IGX90" s="221"/>
      <c r="IGY90" s="222"/>
      <c r="IGZ90" s="222"/>
      <c r="IHA90" s="223"/>
      <c r="IHB90" s="223"/>
      <c r="IHC90" s="224"/>
      <c r="IHD90" s="223"/>
      <c r="IHE90" s="223"/>
      <c r="IHF90" s="223"/>
      <c r="IHG90" s="223"/>
      <c r="IHH90" s="225"/>
      <c r="IHI90" s="220"/>
      <c r="IHJ90" s="221"/>
      <c r="IHK90" s="222"/>
      <c r="IHL90" s="222"/>
      <c r="IHM90" s="223"/>
      <c r="IHN90" s="223"/>
      <c r="IHO90" s="224"/>
      <c r="IHP90" s="223"/>
      <c r="IHQ90" s="223"/>
      <c r="IHR90" s="223"/>
      <c r="IHS90" s="223"/>
      <c r="IHT90" s="225"/>
      <c r="IHU90" s="220"/>
      <c r="IHV90" s="221"/>
      <c r="IHW90" s="222"/>
      <c r="IHX90" s="222"/>
      <c r="IHY90" s="223"/>
      <c r="IHZ90" s="223"/>
      <c r="IIA90" s="224"/>
      <c r="IIB90" s="223"/>
      <c r="IIC90" s="223"/>
      <c r="IID90" s="223"/>
      <c r="IIE90" s="223"/>
      <c r="IIF90" s="225"/>
      <c r="IIG90" s="220"/>
      <c r="IIH90" s="221"/>
      <c r="III90" s="222"/>
      <c r="IIJ90" s="222"/>
      <c r="IIK90" s="223"/>
      <c r="IIL90" s="223"/>
      <c r="IIM90" s="224"/>
      <c r="IIN90" s="223"/>
      <c r="IIO90" s="223"/>
      <c r="IIP90" s="223"/>
      <c r="IIQ90" s="223"/>
      <c r="IIR90" s="225"/>
      <c r="IIS90" s="220"/>
      <c r="IIT90" s="221"/>
      <c r="IIU90" s="222"/>
      <c r="IIV90" s="222"/>
      <c r="IIW90" s="223"/>
      <c r="IIX90" s="223"/>
      <c r="IIY90" s="224"/>
      <c r="IIZ90" s="223"/>
      <c r="IJA90" s="223"/>
      <c r="IJB90" s="223"/>
      <c r="IJC90" s="223"/>
      <c r="IJD90" s="225"/>
      <c r="IJE90" s="220"/>
      <c r="IJF90" s="221"/>
      <c r="IJG90" s="222"/>
      <c r="IJH90" s="222"/>
      <c r="IJI90" s="223"/>
      <c r="IJJ90" s="223"/>
      <c r="IJK90" s="224"/>
      <c r="IJL90" s="223"/>
      <c r="IJM90" s="223"/>
      <c r="IJN90" s="223"/>
      <c r="IJO90" s="223"/>
      <c r="IJP90" s="225"/>
      <c r="IJQ90" s="220"/>
      <c r="IJR90" s="221"/>
      <c r="IJS90" s="222"/>
      <c r="IJT90" s="222"/>
      <c r="IJU90" s="223"/>
      <c r="IJV90" s="223"/>
      <c r="IJW90" s="224"/>
      <c r="IJX90" s="223"/>
      <c r="IJY90" s="223"/>
      <c r="IJZ90" s="223"/>
      <c r="IKA90" s="223"/>
      <c r="IKB90" s="225"/>
      <c r="IKC90" s="220"/>
      <c r="IKD90" s="221"/>
      <c r="IKE90" s="222"/>
      <c r="IKF90" s="222"/>
      <c r="IKG90" s="223"/>
      <c r="IKH90" s="223"/>
      <c r="IKI90" s="224"/>
      <c r="IKJ90" s="223"/>
      <c r="IKK90" s="223"/>
      <c r="IKL90" s="223"/>
      <c r="IKM90" s="223"/>
      <c r="IKN90" s="225"/>
      <c r="IKO90" s="220"/>
      <c r="IKP90" s="221"/>
      <c r="IKQ90" s="222"/>
      <c r="IKR90" s="222"/>
      <c r="IKS90" s="223"/>
      <c r="IKT90" s="223"/>
      <c r="IKU90" s="224"/>
      <c r="IKV90" s="223"/>
      <c r="IKW90" s="223"/>
      <c r="IKX90" s="223"/>
      <c r="IKY90" s="223"/>
      <c r="IKZ90" s="225"/>
      <c r="ILA90" s="220"/>
      <c r="ILB90" s="221"/>
      <c r="ILC90" s="222"/>
      <c r="ILD90" s="222"/>
      <c r="ILE90" s="223"/>
      <c r="ILF90" s="223"/>
      <c r="ILG90" s="224"/>
      <c r="ILH90" s="223"/>
      <c r="ILI90" s="223"/>
      <c r="ILJ90" s="223"/>
      <c r="ILK90" s="223"/>
      <c r="ILL90" s="225"/>
      <c r="ILM90" s="220"/>
      <c r="ILN90" s="221"/>
      <c r="ILO90" s="222"/>
      <c r="ILP90" s="222"/>
      <c r="ILQ90" s="223"/>
      <c r="ILR90" s="223"/>
      <c r="ILS90" s="224"/>
      <c r="ILT90" s="223"/>
      <c r="ILU90" s="223"/>
      <c r="ILV90" s="223"/>
      <c r="ILW90" s="223"/>
      <c r="ILX90" s="225"/>
      <c r="ILY90" s="220"/>
      <c r="ILZ90" s="221"/>
      <c r="IMA90" s="222"/>
      <c r="IMB90" s="222"/>
      <c r="IMC90" s="223"/>
      <c r="IMD90" s="223"/>
      <c r="IME90" s="224"/>
      <c r="IMF90" s="223"/>
      <c r="IMG90" s="223"/>
      <c r="IMH90" s="223"/>
      <c r="IMI90" s="223"/>
      <c r="IMJ90" s="225"/>
      <c r="IMK90" s="220"/>
      <c r="IML90" s="221"/>
      <c r="IMM90" s="222"/>
      <c r="IMN90" s="222"/>
      <c r="IMO90" s="223"/>
      <c r="IMP90" s="223"/>
      <c r="IMQ90" s="224"/>
      <c r="IMR90" s="223"/>
      <c r="IMS90" s="223"/>
      <c r="IMT90" s="223"/>
      <c r="IMU90" s="223"/>
      <c r="IMV90" s="225"/>
      <c r="IMW90" s="220"/>
      <c r="IMX90" s="221"/>
      <c r="IMY90" s="222"/>
      <c r="IMZ90" s="222"/>
      <c r="INA90" s="223"/>
      <c r="INB90" s="223"/>
      <c r="INC90" s="224"/>
      <c r="IND90" s="223"/>
      <c r="INE90" s="223"/>
      <c r="INF90" s="223"/>
      <c r="ING90" s="223"/>
      <c r="INH90" s="225"/>
      <c r="INI90" s="220"/>
      <c r="INJ90" s="221"/>
      <c r="INK90" s="222"/>
      <c r="INL90" s="222"/>
      <c r="INM90" s="223"/>
      <c r="INN90" s="223"/>
      <c r="INO90" s="224"/>
      <c r="INP90" s="223"/>
      <c r="INQ90" s="223"/>
      <c r="INR90" s="223"/>
      <c r="INS90" s="223"/>
      <c r="INT90" s="225"/>
      <c r="INU90" s="220"/>
      <c r="INV90" s="221"/>
      <c r="INW90" s="222"/>
      <c r="INX90" s="222"/>
      <c r="INY90" s="223"/>
      <c r="INZ90" s="223"/>
      <c r="IOA90" s="224"/>
      <c r="IOB90" s="223"/>
      <c r="IOC90" s="223"/>
      <c r="IOD90" s="223"/>
      <c r="IOE90" s="223"/>
      <c r="IOF90" s="225"/>
      <c r="IOG90" s="220"/>
      <c r="IOH90" s="221"/>
      <c r="IOI90" s="222"/>
      <c r="IOJ90" s="222"/>
      <c r="IOK90" s="223"/>
      <c r="IOL90" s="223"/>
      <c r="IOM90" s="224"/>
      <c r="ION90" s="223"/>
      <c r="IOO90" s="223"/>
      <c r="IOP90" s="223"/>
      <c r="IOQ90" s="223"/>
      <c r="IOR90" s="225"/>
      <c r="IOS90" s="220"/>
      <c r="IOT90" s="221"/>
      <c r="IOU90" s="222"/>
      <c r="IOV90" s="222"/>
      <c r="IOW90" s="223"/>
      <c r="IOX90" s="223"/>
      <c r="IOY90" s="224"/>
      <c r="IOZ90" s="223"/>
      <c r="IPA90" s="223"/>
      <c r="IPB90" s="223"/>
      <c r="IPC90" s="223"/>
      <c r="IPD90" s="225"/>
      <c r="IPE90" s="220"/>
      <c r="IPF90" s="221"/>
      <c r="IPG90" s="222"/>
      <c r="IPH90" s="222"/>
      <c r="IPI90" s="223"/>
      <c r="IPJ90" s="223"/>
      <c r="IPK90" s="224"/>
      <c r="IPL90" s="223"/>
      <c r="IPM90" s="223"/>
      <c r="IPN90" s="223"/>
      <c r="IPO90" s="223"/>
      <c r="IPP90" s="225"/>
      <c r="IPQ90" s="220"/>
      <c r="IPR90" s="221"/>
      <c r="IPS90" s="222"/>
      <c r="IPT90" s="222"/>
      <c r="IPU90" s="223"/>
      <c r="IPV90" s="223"/>
      <c r="IPW90" s="224"/>
      <c r="IPX90" s="223"/>
      <c r="IPY90" s="223"/>
      <c r="IPZ90" s="223"/>
      <c r="IQA90" s="223"/>
      <c r="IQB90" s="225"/>
      <c r="IQC90" s="220"/>
      <c r="IQD90" s="221"/>
      <c r="IQE90" s="222"/>
      <c r="IQF90" s="222"/>
      <c r="IQG90" s="223"/>
      <c r="IQH90" s="223"/>
      <c r="IQI90" s="224"/>
      <c r="IQJ90" s="223"/>
      <c r="IQK90" s="223"/>
      <c r="IQL90" s="223"/>
      <c r="IQM90" s="223"/>
      <c r="IQN90" s="225"/>
      <c r="IQO90" s="220"/>
      <c r="IQP90" s="221"/>
      <c r="IQQ90" s="222"/>
      <c r="IQR90" s="222"/>
      <c r="IQS90" s="223"/>
      <c r="IQT90" s="223"/>
      <c r="IQU90" s="224"/>
      <c r="IQV90" s="223"/>
      <c r="IQW90" s="223"/>
      <c r="IQX90" s="223"/>
      <c r="IQY90" s="223"/>
      <c r="IQZ90" s="225"/>
      <c r="IRA90" s="220"/>
      <c r="IRB90" s="221"/>
      <c r="IRC90" s="222"/>
      <c r="IRD90" s="222"/>
      <c r="IRE90" s="223"/>
      <c r="IRF90" s="223"/>
      <c r="IRG90" s="224"/>
      <c r="IRH90" s="223"/>
      <c r="IRI90" s="223"/>
      <c r="IRJ90" s="223"/>
      <c r="IRK90" s="223"/>
      <c r="IRL90" s="225"/>
      <c r="IRM90" s="220"/>
      <c r="IRN90" s="221"/>
      <c r="IRO90" s="222"/>
      <c r="IRP90" s="222"/>
      <c r="IRQ90" s="223"/>
      <c r="IRR90" s="223"/>
      <c r="IRS90" s="224"/>
      <c r="IRT90" s="223"/>
      <c r="IRU90" s="223"/>
      <c r="IRV90" s="223"/>
      <c r="IRW90" s="223"/>
      <c r="IRX90" s="225"/>
      <c r="IRY90" s="220"/>
      <c r="IRZ90" s="221"/>
      <c r="ISA90" s="222"/>
      <c r="ISB90" s="222"/>
      <c r="ISC90" s="223"/>
      <c r="ISD90" s="223"/>
      <c r="ISE90" s="224"/>
      <c r="ISF90" s="223"/>
      <c r="ISG90" s="223"/>
      <c r="ISH90" s="223"/>
      <c r="ISI90" s="223"/>
      <c r="ISJ90" s="225"/>
      <c r="ISK90" s="220"/>
      <c r="ISL90" s="221"/>
      <c r="ISM90" s="222"/>
      <c r="ISN90" s="222"/>
      <c r="ISO90" s="223"/>
      <c r="ISP90" s="223"/>
      <c r="ISQ90" s="224"/>
      <c r="ISR90" s="223"/>
      <c r="ISS90" s="223"/>
      <c r="IST90" s="223"/>
      <c r="ISU90" s="223"/>
      <c r="ISV90" s="225"/>
      <c r="ISW90" s="220"/>
      <c r="ISX90" s="221"/>
      <c r="ISY90" s="222"/>
      <c r="ISZ90" s="222"/>
      <c r="ITA90" s="223"/>
      <c r="ITB90" s="223"/>
      <c r="ITC90" s="224"/>
      <c r="ITD90" s="223"/>
      <c r="ITE90" s="223"/>
      <c r="ITF90" s="223"/>
      <c r="ITG90" s="223"/>
      <c r="ITH90" s="225"/>
      <c r="ITI90" s="220"/>
      <c r="ITJ90" s="221"/>
      <c r="ITK90" s="222"/>
      <c r="ITL90" s="222"/>
      <c r="ITM90" s="223"/>
      <c r="ITN90" s="223"/>
      <c r="ITO90" s="224"/>
      <c r="ITP90" s="223"/>
      <c r="ITQ90" s="223"/>
      <c r="ITR90" s="223"/>
      <c r="ITS90" s="223"/>
      <c r="ITT90" s="225"/>
      <c r="ITU90" s="220"/>
      <c r="ITV90" s="221"/>
      <c r="ITW90" s="222"/>
      <c r="ITX90" s="222"/>
      <c r="ITY90" s="223"/>
      <c r="ITZ90" s="223"/>
      <c r="IUA90" s="224"/>
      <c r="IUB90" s="223"/>
      <c r="IUC90" s="223"/>
      <c r="IUD90" s="223"/>
      <c r="IUE90" s="223"/>
      <c r="IUF90" s="225"/>
      <c r="IUG90" s="220"/>
      <c r="IUH90" s="221"/>
      <c r="IUI90" s="222"/>
      <c r="IUJ90" s="222"/>
      <c r="IUK90" s="223"/>
      <c r="IUL90" s="223"/>
      <c r="IUM90" s="224"/>
      <c r="IUN90" s="223"/>
      <c r="IUO90" s="223"/>
      <c r="IUP90" s="223"/>
      <c r="IUQ90" s="223"/>
      <c r="IUR90" s="225"/>
      <c r="IUS90" s="220"/>
      <c r="IUT90" s="221"/>
      <c r="IUU90" s="222"/>
      <c r="IUV90" s="222"/>
      <c r="IUW90" s="223"/>
      <c r="IUX90" s="223"/>
      <c r="IUY90" s="224"/>
      <c r="IUZ90" s="223"/>
      <c r="IVA90" s="223"/>
      <c r="IVB90" s="223"/>
      <c r="IVC90" s="223"/>
      <c r="IVD90" s="225"/>
      <c r="IVE90" s="220"/>
      <c r="IVF90" s="221"/>
      <c r="IVG90" s="222"/>
      <c r="IVH90" s="222"/>
      <c r="IVI90" s="223"/>
      <c r="IVJ90" s="223"/>
      <c r="IVK90" s="224"/>
      <c r="IVL90" s="223"/>
      <c r="IVM90" s="223"/>
      <c r="IVN90" s="223"/>
      <c r="IVO90" s="223"/>
      <c r="IVP90" s="225"/>
      <c r="IVQ90" s="220"/>
      <c r="IVR90" s="221"/>
      <c r="IVS90" s="222"/>
      <c r="IVT90" s="222"/>
      <c r="IVU90" s="223"/>
      <c r="IVV90" s="223"/>
      <c r="IVW90" s="224"/>
      <c r="IVX90" s="223"/>
      <c r="IVY90" s="223"/>
      <c r="IVZ90" s="223"/>
      <c r="IWA90" s="223"/>
      <c r="IWB90" s="225"/>
      <c r="IWC90" s="220"/>
      <c r="IWD90" s="221"/>
      <c r="IWE90" s="222"/>
      <c r="IWF90" s="222"/>
      <c r="IWG90" s="223"/>
      <c r="IWH90" s="223"/>
      <c r="IWI90" s="224"/>
      <c r="IWJ90" s="223"/>
      <c r="IWK90" s="223"/>
      <c r="IWL90" s="223"/>
      <c r="IWM90" s="223"/>
      <c r="IWN90" s="225"/>
      <c r="IWO90" s="220"/>
      <c r="IWP90" s="221"/>
      <c r="IWQ90" s="222"/>
      <c r="IWR90" s="222"/>
      <c r="IWS90" s="223"/>
      <c r="IWT90" s="223"/>
      <c r="IWU90" s="224"/>
      <c r="IWV90" s="223"/>
      <c r="IWW90" s="223"/>
      <c r="IWX90" s="223"/>
      <c r="IWY90" s="223"/>
      <c r="IWZ90" s="225"/>
      <c r="IXA90" s="220"/>
      <c r="IXB90" s="221"/>
      <c r="IXC90" s="222"/>
      <c r="IXD90" s="222"/>
      <c r="IXE90" s="223"/>
      <c r="IXF90" s="223"/>
      <c r="IXG90" s="224"/>
      <c r="IXH90" s="223"/>
      <c r="IXI90" s="223"/>
      <c r="IXJ90" s="223"/>
      <c r="IXK90" s="223"/>
      <c r="IXL90" s="225"/>
      <c r="IXM90" s="220"/>
      <c r="IXN90" s="221"/>
      <c r="IXO90" s="222"/>
      <c r="IXP90" s="222"/>
      <c r="IXQ90" s="223"/>
      <c r="IXR90" s="223"/>
      <c r="IXS90" s="224"/>
      <c r="IXT90" s="223"/>
      <c r="IXU90" s="223"/>
      <c r="IXV90" s="223"/>
      <c r="IXW90" s="223"/>
      <c r="IXX90" s="225"/>
      <c r="IXY90" s="220"/>
      <c r="IXZ90" s="221"/>
      <c r="IYA90" s="222"/>
      <c r="IYB90" s="222"/>
      <c r="IYC90" s="223"/>
      <c r="IYD90" s="223"/>
      <c r="IYE90" s="224"/>
      <c r="IYF90" s="223"/>
      <c r="IYG90" s="223"/>
      <c r="IYH90" s="223"/>
      <c r="IYI90" s="223"/>
      <c r="IYJ90" s="225"/>
      <c r="IYK90" s="220"/>
      <c r="IYL90" s="221"/>
      <c r="IYM90" s="222"/>
      <c r="IYN90" s="222"/>
      <c r="IYO90" s="223"/>
      <c r="IYP90" s="223"/>
      <c r="IYQ90" s="224"/>
      <c r="IYR90" s="223"/>
      <c r="IYS90" s="223"/>
      <c r="IYT90" s="223"/>
      <c r="IYU90" s="223"/>
      <c r="IYV90" s="225"/>
      <c r="IYW90" s="220"/>
      <c r="IYX90" s="221"/>
      <c r="IYY90" s="222"/>
      <c r="IYZ90" s="222"/>
      <c r="IZA90" s="223"/>
      <c r="IZB90" s="223"/>
      <c r="IZC90" s="224"/>
      <c r="IZD90" s="223"/>
      <c r="IZE90" s="223"/>
      <c r="IZF90" s="223"/>
      <c r="IZG90" s="223"/>
      <c r="IZH90" s="225"/>
      <c r="IZI90" s="220"/>
      <c r="IZJ90" s="221"/>
      <c r="IZK90" s="222"/>
      <c r="IZL90" s="222"/>
      <c r="IZM90" s="223"/>
      <c r="IZN90" s="223"/>
      <c r="IZO90" s="224"/>
      <c r="IZP90" s="223"/>
      <c r="IZQ90" s="223"/>
      <c r="IZR90" s="223"/>
      <c r="IZS90" s="223"/>
      <c r="IZT90" s="225"/>
      <c r="IZU90" s="220"/>
      <c r="IZV90" s="221"/>
      <c r="IZW90" s="222"/>
      <c r="IZX90" s="222"/>
      <c r="IZY90" s="223"/>
      <c r="IZZ90" s="223"/>
      <c r="JAA90" s="224"/>
      <c r="JAB90" s="223"/>
      <c r="JAC90" s="223"/>
      <c r="JAD90" s="223"/>
      <c r="JAE90" s="223"/>
      <c r="JAF90" s="225"/>
      <c r="JAG90" s="220"/>
      <c r="JAH90" s="221"/>
      <c r="JAI90" s="222"/>
      <c r="JAJ90" s="222"/>
      <c r="JAK90" s="223"/>
      <c r="JAL90" s="223"/>
      <c r="JAM90" s="224"/>
      <c r="JAN90" s="223"/>
      <c r="JAO90" s="223"/>
      <c r="JAP90" s="223"/>
      <c r="JAQ90" s="223"/>
      <c r="JAR90" s="225"/>
      <c r="JAS90" s="220"/>
      <c r="JAT90" s="221"/>
      <c r="JAU90" s="222"/>
      <c r="JAV90" s="222"/>
      <c r="JAW90" s="223"/>
      <c r="JAX90" s="223"/>
      <c r="JAY90" s="224"/>
      <c r="JAZ90" s="223"/>
      <c r="JBA90" s="223"/>
      <c r="JBB90" s="223"/>
      <c r="JBC90" s="223"/>
      <c r="JBD90" s="225"/>
      <c r="JBE90" s="220"/>
      <c r="JBF90" s="221"/>
      <c r="JBG90" s="222"/>
      <c r="JBH90" s="222"/>
      <c r="JBI90" s="223"/>
      <c r="JBJ90" s="223"/>
      <c r="JBK90" s="224"/>
      <c r="JBL90" s="223"/>
      <c r="JBM90" s="223"/>
      <c r="JBN90" s="223"/>
      <c r="JBO90" s="223"/>
      <c r="JBP90" s="225"/>
      <c r="JBQ90" s="220"/>
      <c r="JBR90" s="221"/>
      <c r="JBS90" s="222"/>
      <c r="JBT90" s="222"/>
      <c r="JBU90" s="223"/>
      <c r="JBV90" s="223"/>
      <c r="JBW90" s="224"/>
      <c r="JBX90" s="223"/>
      <c r="JBY90" s="223"/>
      <c r="JBZ90" s="223"/>
      <c r="JCA90" s="223"/>
      <c r="JCB90" s="225"/>
      <c r="JCC90" s="220"/>
      <c r="JCD90" s="221"/>
      <c r="JCE90" s="222"/>
      <c r="JCF90" s="222"/>
      <c r="JCG90" s="223"/>
      <c r="JCH90" s="223"/>
      <c r="JCI90" s="224"/>
      <c r="JCJ90" s="223"/>
      <c r="JCK90" s="223"/>
      <c r="JCL90" s="223"/>
      <c r="JCM90" s="223"/>
      <c r="JCN90" s="225"/>
      <c r="JCO90" s="220"/>
      <c r="JCP90" s="221"/>
      <c r="JCQ90" s="222"/>
      <c r="JCR90" s="222"/>
      <c r="JCS90" s="223"/>
      <c r="JCT90" s="223"/>
      <c r="JCU90" s="224"/>
      <c r="JCV90" s="223"/>
      <c r="JCW90" s="223"/>
      <c r="JCX90" s="223"/>
      <c r="JCY90" s="223"/>
      <c r="JCZ90" s="225"/>
      <c r="JDA90" s="220"/>
      <c r="JDB90" s="221"/>
      <c r="JDC90" s="222"/>
      <c r="JDD90" s="222"/>
      <c r="JDE90" s="223"/>
      <c r="JDF90" s="223"/>
      <c r="JDG90" s="224"/>
      <c r="JDH90" s="223"/>
      <c r="JDI90" s="223"/>
      <c r="JDJ90" s="223"/>
      <c r="JDK90" s="223"/>
      <c r="JDL90" s="225"/>
      <c r="JDM90" s="220"/>
      <c r="JDN90" s="221"/>
      <c r="JDO90" s="222"/>
      <c r="JDP90" s="222"/>
      <c r="JDQ90" s="223"/>
      <c r="JDR90" s="223"/>
      <c r="JDS90" s="224"/>
      <c r="JDT90" s="223"/>
      <c r="JDU90" s="223"/>
      <c r="JDV90" s="223"/>
      <c r="JDW90" s="223"/>
      <c r="JDX90" s="225"/>
      <c r="JDY90" s="220"/>
      <c r="JDZ90" s="221"/>
      <c r="JEA90" s="222"/>
      <c r="JEB90" s="222"/>
      <c r="JEC90" s="223"/>
      <c r="JED90" s="223"/>
      <c r="JEE90" s="224"/>
      <c r="JEF90" s="223"/>
      <c r="JEG90" s="223"/>
      <c r="JEH90" s="223"/>
      <c r="JEI90" s="223"/>
      <c r="JEJ90" s="225"/>
      <c r="JEK90" s="220"/>
      <c r="JEL90" s="221"/>
      <c r="JEM90" s="222"/>
      <c r="JEN90" s="222"/>
      <c r="JEO90" s="223"/>
      <c r="JEP90" s="223"/>
      <c r="JEQ90" s="224"/>
      <c r="JER90" s="223"/>
      <c r="JES90" s="223"/>
      <c r="JET90" s="223"/>
      <c r="JEU90" s="223"/>
      <c r="JEV90" s="225"/>
      <c r="JEW90" s="220"/>
      <c r="JEX90" s="221"/>
      <c r="JEY90" s="222"/>
      <c r="JEZ90" s="222"/>
      <c r="JFA90" s="223"/>
      <c r="JFB90" s="223"/>
      <c r="JFC90" s="224"/>
      <c r="JFD90" s="223"/>
      <c r="JFE90" s="223"/>
      <c r="JFF90" s="223"/>
      <c r="JFG90" s="223"/>
      <c r="JFH90" s="225"/>
      <c r="JFI90" s="220"/>
      <c r="JFJ90" s="221"/>
      <c r="JFK90" s="222"/>
      <c r="JFL90" s="222"/>
      <c r="JFM90" s="223"/>
      <c r="JFN90" s="223"/>
      <c r="JFO90" s="224"/>
      <c r="JFP90" s="223"/>
      <c r="JFQ90" s="223"/>
      <c r="JFR90" s="223"/>
      <c r="JFS90" s="223"/>
      <c r="JFT90" s="225"/>
      <c r="JFU90" s="220"/>
      <c r="JFV90" s="221"/>
      <c r="JFW90" s="222"/>
      <c r="JFX90" s="222"/>
      <c r="JFY90" s="223"/>
      <c r="JFZ90" s="223"/>
      <c r="JGA90" s="224"/>
      <c r="JGB90" s="223"/>
      <c r="JGC90" s="223"/>
      <c r="JGD90" s="223"/>
      <c r="JGE90" s="223"/>
      <c r="JGF90" s="225"/>
      <c r="JGG90" s="220"/>
      <c r="JGH90" s="221"/>
      <c r="JGI90" s="222"/>
      <c r="JGJ90" s="222"/>
      <c r="JGK90" s="223"/>
      <c r="JGL90" s="223"/>
      <c r="JGM90" s="224"/>
      <c r="JGN90" s="223"/>
      <c r="JGO90" s="223"/>
      <c r="JGP90" s="223"/>
      <c r="JGQ90" s="223"/>
      <c r="JGR90" s="225"/>
      <c r="JGS90" s="220"/>
      <c r="JGT90" s="221"/>
      <c r="JGU90" s="222"/>
      <c r="JGV90" s="222"/>
      <c r="JGW90" s="223"/>
      <c r="JGX90" s="223"/>
      <c r="JGY90" s="224"/>
      <c r="JGZ90" s="223"/>
      <c r="JHA90" s="223"/>
      <c r="JHB90" s="223"/>
      <c r="JHC90" s="223"/>
      <c r="JHD90" s="225"/>
      <c r="JHE90" s="220"/>
      <c r="JHF90" s="221"/>
      <c r="JHG90" s="222"/>
      <c r="JHH90" s="222"/>
      <c r="JHI90" s="223"/>
      <c r="JHJ90" s="223"/>
      <c r="JHK90" s="224"/>
      <c r="JHL90" s="223"/>
      <c r="JHM90" s="223"/>
      <c r="JHN90" s="223"/>
      <c r="JHO90" s="223"/>
      <c r="JHP90" s="225"/>
      <c r="JHQ90" s="220"/>
      <c r="JHR90" s="221"/>
      <c r="JHS90" s="222"/>
      <c r="JHT90" s="222"/>
      <c r="JHU90" s="223"/>
      <c r="JHV90" s="223"/>
      <c r="JHW90" s="224"/>
      <c r="JHX90" s="223"/>
      <c r="JHY90" s="223"/>
      <c r="JHZ90" s="223"/>
      <c r="JIA90" s="223"/>
      <c r="JIB90" s="225"/>
      <c r="JIC90" s="220"/>
      <c r="JID90" s="221"/>
      <c r="JIE90" s="222"/>
      <c r="JIF90" s="222"/>
      <c r="JIG90" s="223"/>
      <c r="JIH90" s="223"/>
      <c r="JII90" s="224"/>
      <c r="JIJ90" s="223"/>
      <c r="JIK90" s="223"/>
      <c r="JIL90" s="223"/>
      <c r="JIM90" s="223"/>
      <c r="JIN90" s="225"/>
      <c r="JIO90" s="220"/>
      <c r="JIP90" s="221"/>
      <c r="JIQ90" s="222"/>
      <c r="JIR90" s="222"/>
      <c r="JIS90" s="223"/>
      <c r="JIT90" s="223"/>
      <c r="JIU90" s="224"/>
      <c r="JIV90" s="223"/>
      <c r="JIW90" s="223"/>
      <c r="JIX90" s="223"/>
      <c r="JIY90" s="223"/>
      <c r="JIZ90" s="225"/>
      <c r="JJA90" s="220"/>
      <c r="JJB90" s="221"/>
      <c r="JJC90" s="222"/>
      <c r="JJD90" s="222"/>
      <c r="JJE90" s="223"/>
      <c r="JJF90" s="223"/>
      <c r="JJG90" s="224"/>
      <c r="JJH90" s="223"/>
      <c r="JJI90" s="223"/>
      <c r="JJJ90" s="223"/>
      <c r="JJK90" s="223"/>
      <c r="JJL90" s="225"/>
      <c r="JJM90" s="220"/>
      <c r="JJN90" s="221"/>
      <c r="JJO90" s="222"/>
      <c r="JJP90" s="222"/>
      <c r="JJQ90" s="223"/>
      <c r="JJR90" s="223"/>
      <c r="JJS90" s="224"/>
      <c r="JJT90" s="223"/>
      <c r="JJU90" s="223"/>
      <c r="JJV90" s="223"/>
      <c r="JJW90" s="223"/>
      <c r="JJX90" s="225"/>
      <c r="JJY90" s="220"/>
      <c r="JJZ90" s="221"/>
      <c r="JKA90" s="222"/>
      <c r="JKB90" s="222"/>
      <c r="JKC90" s="223"/>
      <c r="JKD90" s="223"/>
      <c r="JKE90" s="224"/>
      <c r="JKF90" s="223"/>
      <c r="JKG90" s="223"/>
      <c r="JKH90" s="223"/>
      <c r="JKI90" s="223"/>
      <c r="JKJ90" s="225"/>
      <c r="JKK90" s="220"/>
      <c r="JKL90" s="221"/>
      <c r="JKM90" s="222"/>
      <c r="JKN90" s="222"/>
      <c r="JKO90" s="223"/>
      <c r="JKP90" s="223"/>
      <c r="JKQ90" s="224"/>
      <c r="JKR90" s="223"/>
      <c r="JKS90" s="223"/>
      <c r="JKT90" s="223"/>
      <c r="JKU90" s="223"/>
      <c r="JKV90" s="225"/>
      <c r="JKW90" s="220"/>
      <c r="JKX90" s="221"/>
      <c r="JKY90" s="222"/>
      <c r="JKZ90" s="222"/>
      <c r="JLA90" s="223"/>
      <c r="JLB90" s="223"/>
      <c r="JLC90" s="224"/>
      <c r="JLD90" s="223"/>
      <c r="JLE90" s="223"/>
      <c r="JLF90" s="223"/>
      <c r="JLG90" s="223"/>
      <c r="JLH90" s="225"/>
      <c r="JLI90" s="220"/>
      <c r="JLJ90" s="221"/>
      <c r="JLK90" s="222"/>
      <c r="JLL90" s="222"/>
      <c r="JLM90" s="223"/>
      <c r="JLN90" s="223"/>
      <c r="JLO90" s="224"/>
      <c r="JLP90" s="223"/>
      <c r="JLQ90" s="223"/>
      <c r="JLR90" s="223"/>
      <c r="JLS90" s="223"/>
      <c r="JLT90" s="225"/>
      <c r="JLU90" s="220"/>
      <c r="JLV90" s="221"/>
      <c r="JLW90" s="222"/>
      <c r="JLX90" s="222"/>
      <c r="JLY90" s="223"/>
      <c r="JLZ90" s="223"/>
      <c r="JMA90" s="224"/>
      <c r="JMB90" s="223"/>
      <c r="JMC90" s="223"/>
      <c r="JMD90" s="223"/>
      <c r="JME90" s="223"/>
      <c r="JMF90" s="225"/>
      <c r="JMG90" s="220"/>
      <c r="JMH90" s="221"/>
      <c r="JMI90" s="222"/>
      <c r="JMJ90" s="222"/>
      <c r="JMK90" s="223"/>
      <c r="JML90" s="223"/>
      <c r="JMM90" s="224"/>
      <c r="JMN90" s="223"/>
      <c r="JMO90" s="223"/>
      <c r="JMP90" s="223"/>
      <c r="JMQ90" s="223"/>
      <c r="JMR90" s="225"/>
      <c r="JMS90" s="220"/>
      <c r="JMT90" s="221"/>
      <c r="JMU90" s="222"/>
      <c r="JMV90" s="222"/>
      <c r="JMW90" s="223"/>
      <c r="JMX90" s="223"/>
      <c r="JMY90" s="224"/>
      <c r="JMZ90" s="223"/>
      <c r="JNA90" s="223"/>
      <c r="JNB90" s="223"/>
      <c r="JNC90" s="223"/>
      <c r="JND90" s="225"/>
      <c r="JNE90" s="220"/>
      <c r="JNF90" s="221"/>
      <c r="JNG90" s="222"/>
      <c r="JNH90" s="222"/>
      <c r="JNI90" s="223"/>
      <c r="JNJ90" s="223"/>
      <c r="JNK90" s="224"/>
      <c r="JNL90" s="223"/>
      <c r="JNM90" s="223"/>
      <c r="JNN90" s="223"/>
      <c r="JNO90" s="223"/>
      <c r="JNP90" s="225"/>
      <c r="JNQ90" s="220"/>
      <c r="JNR90" s="221"/>
      <c r="JNS90" s="222"/>
      <c r="JNT90" s="222"/>
      <c r="JNU90" s="223"/>
      <c r="JNV90" s="223"/>
      <c r="JNW90" s="224"/>
      <c r="JNX90" s="223"/>
      <c r="JNY90" s="223"/>
      <c r="JNZ90" s="223"/>
      <c r="JOA90" s="223"/>
      <c r="JOB90" s="225"/>
      <c r="JOC90" s="220"/>
      <c r="JOD90" s="221"/>
      <c r="JOE90" s="222"/>
      <c r="JOF90" s="222"/>
      <c r="JOG90" s="223"/>
      <c r="JOH90" s="223"/>
      <c r="JOI90" s="224"/>
      <c r="JOJ90" s="223"/>
      <c r="JOK90" s="223"/>
      <c r="JOL90" s="223"/>
      <c r="JOM90" s="223"/>
      <c r="JON90" s="225"/>
      <c r="JOO90" s="220"/>
      <c r="JOP90" s="221"/>
      <c r="JOQ90" s="222"/>
      <c r="JOR90" s="222"/>
      <c r="JOS90" s="223"/>
      <c r="JOT90" s="223"/>
      <c r="JOU90" s="224"/>
      <c r="JOV90" s="223"/>
      <c r="JOW90" s="223"/>
      <c r="JOX90" s="223"/>
      <c r="JOY90" s="223"/>
      <c r="JOZ90" s="225"/>
      <c r="JPA90" s="220"/>
      <c r="JPB90" s="221"/>
      <c r="JPC90" s="222"/>
      <c r="JPD90" s="222"/>
      <c r="JPE90" s="223"/>
      <c r="JPF90" s="223"/>
      <c r="JPG90" s="224"/>
      <c r="JPH90" s="223"/>
      <c r="JPI90" s="223"/>
      <c r="JPJ90" s="223"/>
      <c r="JPK90" s="223"/>
      <c r="JPL90" s="225"/>
      <c r="JPM90" s="220"/>
      <c r="JPN90" s="221"/>
      <c r="JPO90" s="222"/>
      <c r="JPP90" s="222"/>
      <c r="JPQ90" s="223"/>
      <c r="JPR90" s="223"/>
      <c r="JPS90" s="224"/>
      <c r="JPT90" s="223"/>
      <c r="JPU90" s="223"/>
      <c r="JPV90" s="223"/>
      <c r="JPW90" s="223"/>
      <c r="JPX90" s="225"/>
      <c r="JPY90" s="220"/>
      <c r="JPZ90" s="221"/>
      <c r="JQA90" s="222"/>
      <c r="JQB90" s="222"/>
      <c r="JQC90" s="223"/>
      <c r="JQD90" s="223"/>
      <c r="JQE90" s="224"/>
      <c r="JQF90" s="223"/>
      <c r="JQG90" s="223"/>
      <c r="JQH90" s="223"/>
      <c r="JQI90" s="223"/>
      <c r="JQJ90" s="225"/>
      <c r="JQK90" s="220"/>
      <c r="JQL90" s="221"/>
      <c r="JQM90" s="222"/>
      <c r="JQN90" s="222"/>
      <c r="JQO90" s="223"/>
      <c r="JQP90" s="223"/>
      <c r="JQQ90" s="224"/>
      <c r="JQR90" s="223"/>
      <c r="JQS90" s="223"/>
      <c r="JQT90" s="223"/>
      <c r="JQU90" s="223"/>
      <c r="JQV90" s="225"/>
      <c r="JQW90" s="220"/>
      <c r="JQX90" s="221"/>
      <c r="JQY90" s="222"/>
      <c r="JQZ90" s="222"/>
      <c r="JRA90" s="223"/>
      <c r="JRB90" s="223"/>
      <c r="JRC90" s="224"/>
      <c r="JRD90" s="223"/>
      <c r="JRE90" s="223"/>
      <c r="JRF90" s="223"/>
      <c r="JRG90" s="223"/>
      <c r="JRH90" s="225"/>
      <c r="JRI90" s="220"/>
      <c r="JRJ90" s="221"/>
      <c r="JRK90" s="222"/>
      <c r="JRL90" s="222"/>
      <c r="JRM90" s="223"/>
      <c r="JRN90" s="223"/>
      <c r="JRO90" s="224"/>
      <c r="JRP90" s="223"/>
      <c r="JRQ90" s="223"/>
      <c r="JRR90" s="223"/>
      <c r="JRS90" s="223"/>
      <c r="JRT90" s="225"/>
      <c r="JRU90" s="220"/>
      <c r="JRV90" s="221"/>
      <c r="JRW90" s="222"/>
      <c r="JRX90" s="222"/>
      <c r="JRY90" s="223"/>
      <c r="JRZ90" s="223"/>
      <c r="JSA90" s="224"/>
      <c r="JSB90" s="223"/>
      <c r="JSC90" s="223"/>
      <c r="JSD90" s="223"/>
      <c r="JSE90" s="223"/>
      <c r="JSF90" s="225"/>
      <c r="JSG90" s="220"/>
      <c r="JSH90" s="221"/>
      <c r="JSI90" s="222"/>
      <c r="JSJ90" s="222"/>
      <c r="JSK90" s="223"/>
      <c r="JSL90" s="223"/>
      <c r="JSM90" s="224"/>
      <c r="JSN90" s="223"/>
      <c r="JSO90" s="223"/>
      <c r="JSP90" s="223"/>
      <c r="JSQ90" s="223"/>
      <c r="JSR90" s="225"/>
      <c r="JSS90" s="220"/>
      <c r="JST90" s="221"/>
      <c r="JSU90" s="222"/>
      <c r="JSV90" s="222"/>
      <c r="JSW90" s="223"/>
      <c r="JSX90" s="223"/>
      <c r="JSY90" s="224"/>
      <c r="JSZ90" s="223"/>
      <c r="JTA90" s="223"/>
      <c r="JTB90" s="223"/>
      <c r="JTC90" s="223"/>
      <c r="JTD90" s="225"/>
      <c r="JTE90" s="220"/>
      <c r="JTF90" s="221"/>
      <c r="JTG90" s="222"/>
      <c r="JTH90" s="222"/>
      <c r="JTI90" s="223"/>
      <c r="JTJ90" s="223"/>
      <c r="JTK90" s="224"/>
      <c r="JTL90" s="223"/>
      <c r="JTM90" s="223"/>
      <c r="JTN90" s="223"/>
      <c r="JTO90" s="223"/>
      <c r="JTP90" s="225"/>
      <c r="JTQ90" s="220"/>
      <c r="JTR90" s="221"/>
      <c r="JTS90" s="222"/>
      <c r="JTT90" s="222"/>
      <c r="JTU90" s="223"/>
      <c r="JTV90" s="223"/>
      <c r="JTW90" s="224"/>
      <c r="JTX90" s="223"/>
      <c r="JTY90" s="223"/>
      <c r="JTZ90" s="223"/>
      <c r="JUA90" s="223"/>
      <c r="JUB90" s="225"/>
      <c r="JUC90" s="220"/>
      <c r="JUD90" s="221"/>
      <c r="JUE90" s="222"/>
      <c r="JUF90" s="222"/>
      <c r="JUG90" s="223"/>
      <c r="JUH90" s="223"/>
      <c r="JUI90" s="224"/>
      <c r="JUJ90" s="223"/>
      <c r="JUK90" s="223"/>
      <c r="JUL90" s="223"/>
      <c r="JUM90" s="223"/>
      <c r="JUN90" s="225"/>
      <c r="JUO90" s="220"/>
      <c r="JUP90" s="221"/>
      <c r="JUQ90" s="222"/>
      <c r="JUR90" s="222"/>
      <c r="JUS90" s="223"/>
      <c r="JUT90" s="223"/>
      <c r="JUU90" s="224"/>
      <c r="JUV90" s="223"/>
      <c r="JUW90" s="223"/>
      <c r="JUX90" s="223"/>
      <c r="JUY90" s="223"/>
      <c r="JUZ90" s="225"/>
      <c r="JVA90" s="220"/>
      <c r="JVB90" s="221"/>
      <c r="JVC90" s="222"/>
      <c r="JVD90" s="222"/>
      <c r="JVE90" s="223"/>
      <c r="JVF90" s="223"/>
      <c r="JVG90" s="224"/>
      <c r="JVH90" s="223"/>
      <c r="JVI90" s="223"/>
      <c r="JVJ90" s="223"/>
      <c r="JVK90" s="223"/>
      <c r="JVL90" s="225"/>
      <c r="JVM90" s="220"/>
      <c r="JVN90" s="221"/>
      <c r="JVO90" s="222"/>
      <c r="JVP90" s="222"/>
      <c r="JVQ90" s="223"/>
      <c r="JVR90" s="223"/>
      <c r="JVS90" s="224"/>
      <c r="JVT90" s="223"/>
      <c r="JVU90" s="223"/>
      <c r="JVV90" s="223"/>
      <c r="JVW90" s="223"/>
      <c r="JVX90" s="225"/>
      <c r="JVY90" s="220"/>
      <c r="JVZ90" s="221"/>
      <c r="JWA90" s="222"/>
      <c r="JWB90" s="222"/>
      <c r="JWC90" s="223"/>
      <c r="JWD90" s="223"/>
      <c r="JWE90" s="224"/>
      <c r="JWF90" s="223"/>
      <c r="JWG90" s="223"/>
      <c r="JWH90" s="223"/>
      <c r="JWI90" s="223"/>
      <c r="JWJ90" s="225"/>
      <c r="JWK90" s="220"/>
      <c r="JWL90" s="221"/>
      <c r="JWM90" s="222"/>
      <c r="JWN90" s="222"/>
      <c r="JWO90" s="223"/>
      <c r="JWP90" s="223"/>
      <c r="JWQ90" s="224"/>
      <c r="JWR90" s="223"/>
      <c r="JWS90" s="223"/>
      <c r="JWT90" s="223"/>
      <c r="JWU90" s="223"/>
      <c r="JWV90" s="225"/>
      <c r="JWW90" s="220"/>
      <c r="JWX90" s="221"/>
      <c r="JWY90" s="222"/>
      <c r="JWZ90" s="222"/>
      <c r="JXA90" s="223"/>
      <c r="JXB90" s="223"/>
      <c r="JXC90" s="224"/>
      <c r="JXD90" s="223"/>
      <c r="JXE90" s="223"/>
      <c r="JXF90" s="223"/>
      <c r="JXG90" s="223"/>
      <c r="JXH90" s="225"/>
      <c r="JXI90" s="220"/>
      <c r="JXJ90" s="221"/>
      <c r="JXK90" s="222"/>
      <c r="JXL90" s="222"/>
      <c r="JXM90" s="223"/>
      <c r="JXN90" s="223"/>
      <c r="JXO90" s="224"/>
      <c r="JXP90" s="223"/>
      <c r="JXQ90" s="223"/>
      <c r="JXR90" s="223"/>
      <c r="JXS90" s="223"/>
      <c r="JXT90" s="225"/>
      <c r="JXU90" s="220"/>
      <c r="JXV90" s="221"/>
      <c r="JXW90" s="222"/>
      <c r="JXX90" s="222"/>
      <c r="JXY90" s="223"/>
      <c r="JXZ90" s="223"/>
      <c r="JYA90" s="224"/>
      <c r="JYB90" s="223"/>
      <c r="JYC90" s="223"/>
      <c r="JYD90" s="223"/>
      <c r="JYE90" s="223"/>
      <c r="JYF90" s="225"/>
      <c r="JYG90" s="220"/>
      <c r="JYH90" s="221"/>
      <c r="JYI90" s="222"/>
      <c r="JYJ90" s="222"/>
      <c r="JYK90" s="223"/>
      <c r="JYL90" s="223"/>
      <c r="JYM90" s="224"/>
      <c r="JYN90" s="223"/>
      <c r="JYO90" s="223"/>
      <c r="JYP90" s="223"/>
      <c r="JYQ90" s="223"/>
      <c r="JYR90" s="225"/>
      <c r="JYS90" s="220"/>
      <c r="JYT90" s="221"/>
      <c r="JYU90" s="222"/>
      <c r="JYV90" s="222"/>
      <c r="JYW90" s="223"/>
      <c r="JYX90" s="223"/>
      <c r="JYY90" s="224"/>
      <c r="JYZ90" s="223"/>
      <c r="JZA90" s="223"/>
      <c r="JZB90" s="223"/>
      <c r="JZC90" s="223"/>
      <c r="JZD90" s="225"/>
      <c r="JZE90" s="220"/>
      <c r="JZF90" s="221"/>
      <c r="JZG90" s="222"/>
      <c r="JZH90" s="222"/>
      <c r="JZI90" s="223"/>
      <c r="JZJ90" s="223"/>
      <c r="JZK90" s="224"/>
      <c r="JZL90" s="223"/>
      <c r="JZM90" s="223"/>
      <c r="JZN90" s="223"/>
      <c r="JZO90" s="223"/>
      <c r="JZP90" s="225"/>
      <c r="JZQ90" s="220"/>
      <c r="JZR90" s="221"/>
      <c r="JZS90" s="222"/>
      <c r="JZT90" s="222"/>
      <c r="JZU90" s="223"/>
      <c r="JZV90" s="223"/>
      <c r="JZW90" s="224"/>
      <c r="JZX90" s="223"/>
      <c r="JZY90" s="223"/>
      <c r="JZZ90" s="223"/>
      <c r="KAA90" s="223"/>
      <c r="KAB90" s="225"/>
      <c r="KAC90" s="220"/>
      <c r="KAD90" s="221"/>
      <c r="KAE90" s="222"/>
      <c r="KAF90" s="222"/>
      <c r="KAG90" s="223"/>
      <c r="KAH90" s="223"/>
      <c r="KAI90" s="224"/>
      <c r="KAJ90" s="223"/>
      <c r="KAK90" s="223"/>
      <c r="KAL90" s="223"/>
      <c r="KAM90" s="223"/>
      <c r="KAN90" s="225"/>
      <c r="KAO90" s="220"/>
      <c r="KAP90" s="221"/>
      <c r="KAQ90" s="222"/>
      <c r="KAR90" s="222"/>
      <c r="KAS90" s="223"/>
      <c r="KAT90" s="223"/>
      <c r="KAU90" s="224"/>
      <c r="KAV90" s="223"/>
      <c r="KAW90" s="223"/>
      <c r="KAX90" s="223"/>
      <c r="KAY90" s="223"/>
      <c r="KAZ90" s="225"/>
      <c r="KBA90" s="220"/>
      <c r="KBB90" s="221"/>
      <c r="KBC90" s="222"/>
      <c r="KBD90" s="222"/>
      <c r="KBE90" s="223"/>
      <c r="KBF90" s="223"/>
      <c r="KBG90" s="224"/>
      <c r="KBH90" s="223"/>
      <c r="KBI90" s="223"/>
      <c r="KBJ90" s="223"/>
      <c r="KBK90" s="223"/>
      <c r="KBL90" s="225"/>
      <c r="KBM90" s="220"/>
      <c r="KBN90" s="221"/>
      <c r="KBO90" s="222"/>
      <c r="KBP90" s="222"/>
      <c r="KBQ90" s="223"/>
      <c r="KBR90" s="223"/>
      <c r="KBS90" s="224"/>
      <c r="KBT90" s="223"/>
      <c r="KBU90" s="223"/>
      <c r="KBV90" s="223"/>
      <c r="KBW90" s="223"/>
      <c r="KBX90" s="225"/>
      <c r="KBY90" s="220"/>
      <c r="KBZ90" s="221"/>
      <c r="KCA90" s="222"/>
      <c r="KCB90" s="222"/>
      <c r="KCC90" s="223"/>
      <c r="KCD90" s="223"/>
      <c r="KCE90" s="224"/>
      <c r="KCF90" s="223"/>
      <c r="KCG90" s="223"/>
      <c r="KCH90" s="223"/>
      <c r="KCI90" s="223"/>
      <c r="KCJ90" s="225"/>
      <c r="KCK90" s="220"/>
      <c r="KCL90" s="221"/>
      <c r="KCM90" s="222"/>
      <c r="KCN90" s="222"/>
      <c r="KCO90" s="223"/>
      <c r="KCP90" s="223"/>
      <c r="KCQ90" s="224"/>
      <c r="KCR90" s="223"/>
      <c r="KCS90" s="223"/>
      <c r="KCT90" s="223"/>
      <c r="KCU90" s="223"/>
      <c r="KCV90" s="225"/>
      <c r="KCW90" s="220"/>
      <c r="KCX90" s="221"/>
      <c r="KCY90" s="222"/>
      <c r="KCZ90" s="222"/>
      <c r="KDA90" s="223"/>
      <c r="KDB90" s="223"/>
      <c r="KDC90" s="224"/>
      <c r="KDD90" s="223"/>
      <c r="KDE90" s="223"/>
      <c r="KDF90" s="223"/>
      <c r="KDG90" s="223"/>
      <c r="KDH90" s="225"/>
      <c r="KDI90" s="220"/>
      <c r="KDJ90" s="221"/>
      <c r="KDK90" s="222"/>
      <c r="KDL90" s="222"/>
      <c r="KDM90" s="223"/>
      <c r="KDN90" s="223"/>
      <c r="KDO90" s="224"/>
      <c r="KDP90" s="223"/>
      <c r="KDQ90" s="223"/>
      <c r="KDR90" s="223"/>
      <c r="KDS90" s="223"/>
      <c r="KDT90" s="225"/>
      <c r="KDU90" s="220"/>
      <c r="KDV90" s="221"/>
      <c r="KDW90" s="222"/>
      <c r="KDX90" s="222"/>
      <c r="KDY90" s="223"/>
      <c r="KDZ90" s="223"/>
      <c r="KEA90" s="224"/>
      <c r="KEB90" s="223"/>
      <c r="KEC90" s="223"/>
      <c r="KED90" s="223"/>
      <c r="KEE90" s="223"/>
      <c r="KEF90" s="225"/>
      <c r="KEG90" s="220"/>
      <c r="KEH90" s="221"/>
      <c r="KEI90" s="222"/>
      <c r="KEJ90" s="222"/>
      <c r="KEK90" s="223"/>
      <c r="KEL90" s="223"/>
      <c r="KEM90" s="224"/>
      <c r="KEN90" s="223"/>
      <c r="KEO90" s="223"/>
      <c r="KEP90" s="223"/>
      <c r="KEQ90" s="223"/>
      <c r="KER90" s="225"/>
      <c r="KES90" s="220"/>
      <c r="KET90" s="221"/>
      <c r="KEU90" s="222"/>
      <c r="KEV90" s="222"/>
      <c r="KEW90" s="223"/>
      <c r="KEX90" s="223"/>
      <c r="KEY90" s="224"/>
      <c r="KEZ90" s="223"/>
      <c r="KFA90" s="223"/>
      <c r="KFB90" s="223"/>
      <c r="KFC90" s="223"/>
      <c r="KFD90" s="225"/>
      <c r="KFE90" s="220"/>
      <c r="KFF90" s="221"/>
      <c r="KFG90" s="222"/>
      <c r="KFH90" s="222"/>
      <c r="KFI90" s="223"/>
      <c r="KFJ90" s="223"/>
      <c r="KFK90" s="224"/>
      <c r="KFL90" s="223"/>
      <c r="KFM90" s="223"/>
      <c r="KFN90" s="223"/>
      <c r="KFO90" s="223"/>
      <c r="KFP90" s="225"/>
      <c r="KFQ90" s="220"/>
      <c r="KFR90" s="221"/>
      <c r="KFS90" s="222"/>
      <c r="KFT90" s="222"/>
      <c r="KFU90" s="223"/>
      <c r="KFV90" s="223"/>
      <c r="KFW90" s="224"/>
      <c r="KFX90" s="223"/>
      <c r="KFY90" s="223"/>
      <c r="KFZ90" s="223"/>
      <c r="KGA90" s="223"/>
      <c r="KGB90" s="225"/>
      <c r="KGC90" s="220"/>
      <c r="KGD90" s="221"/>
      <c r="KGE90" s="222"/>
      <c r="KGF90" s="222"/>
      <c r="KGG90" s="223"/>
      <c r="KGH90" s="223"/>
      <c r="KGI90" s="224"/>
      <c r="KGJ90" s="223"/>
      <c r="KGK90" s="223"/>
      <c r="KGL90" s="223"/>
      <c r="KGM90" s="223"/>
      <c r="KGN90" s="225"/>
      <c r="KGO90" s="220"/>
      <c r="KGP90" s="221"/>
      <c r="KGQ90" s="222"/>
      <c r="KGR90" s="222"/>
      <c r="KGS90" s="223"/>
      <c r="KGT90" s="223"/>
      <c r="KGU90" s="224"/>
      <c r="KGV90" s="223"/>
      <c r="KGW90" s="223"/>
      <c r="KGX90" s="223"/>
      <c r="KGY90" s="223"/>
      <c r="KGZ90" s="225"/>
      <c r="KHA90" s="220"/>
      <c r="KHB90" s="221"/>
      <c r="KHC90" s="222"/>
      <c r="KHD90" s="222"/>
      <c r="KHE90" s="223"/>
      <c r="KHF90" s="223"/>
      <c r="KHG90" s="224"/>
      <c r="KHH90" s="223"/>
      <c r="KHI90" s="223"/>
      <c r="KHJ90" s="223"/>
      <c r="KHK90" s="223"/>
      <c r="KHL90" s="225"/>
      <c r="KHM90" s="220"/>
      <c r="KHN90" s="221"/>
      <c r="KHO90" s="222"/>
      <c r="KHP90" s="222"/>
      <c r="KHQ90" s="223"/>
      <c r="KHR90" s="223"/>
      <c r="KHS90" s="224"/>
      <c r="KHT90" s="223"/>
      <c r="KHU90" s="223"/>
      <c r="KHV90" s="223"/>
      <c r="KHW90" s="223"/>
      <c r="KHX90" s="225"/>
      <c r="KHY90" s="220"/>
      <c r="KHZ90" s="221"/>
      <c r="KIA90" s="222"/>
      <c r="KIB90" s="222"/>
      <c r="KIC90" s="223"/>
      <c r="KID90" s="223"/>
      <c r="KIE90" s="224"/>
      <c r="KIF90" s="223"/>
      <c r="KIG90" s="223"/>
      <c r="KIH90" s="223"/>
      <c r="KII90" s="223"/>
      <c r="KIJ90" s="225"/>
      <c r="KIK90" s="220"/>
      <c r="KIL90" s="221"/>
      <c r="KIM90" s="222"/>
      <c r="KIN90" s="222"/>
      <c r="KIO90" s="223"/>
      <c r="KIP90" s="223"/>
      <c r="KIQ90" s="224"/>
      <c r="KIR90" s="223"/>
      <c r="KIS90" s="223"/>
      <c r="KIT90" s="223"/>
      <c r="KIU90" s="223"/>
      <c r="KIV90" s="225"/>
      <c r="KIW90" s="220"/>
      <c r="KIX90" s="221"/>
      <c r="KIY90" s="222"/>
      <c r="KIZ90" s="222"/>
      <c r="KJA90" s="223"/>
      <c r="KJB90" s="223"/>
      <c r="KJC90" s="224"/>
      <c r="KJD90" s="223"/>
      <c r="KJE90" s="223"/>
      <c r="KJF90" s="223"/>
      <c r="KJG90" s="223"/>
      <c r="KJH90" s="225"/>
      <c r="KJI90" s="220"/>
      <c r="KJJ90" s="221"/>
      <c r="KJK90" s="222"/>
      <c r="KJL90" s="222"/>
      <c r="KJM90" s="223"/>
      <c r="KJN90" s="223"/>
      <c r="KJO90" s="224"/>
      <c r="KJP90" s="223"/>
      <c r="KJQ90" s="223"/>
      <c r="KJR90" s="223"/>
      <c r="KJS90" s="223"/>
      <c r="KJT90" s="225"/>
      <c r="KJU90" s="220"/>
      <c r="KJV90" s="221"/>
      <c r="KJW90" s="222"/>
      <c r="KJX90" s="222"/>
      <c r="KJY90" s="223"/>
      <c r="KJZ90" s="223"/>
      <c r="KKA90" s="224"/>
      <c r="KKB90" s="223"/>
      <c r="KKC90" s="223"/>
      <c r="KKD90" s="223"/>
      <c r="KKE90" s="223"/>
      <c r="KKF90" s="225"/>
      <c r="KKG90" s="220"/>
      <c r="KKH90" s="221"/>
      <c r="KKI90" s="222"/>
      <c r="KKJ90" s="222"/>
      <c r="KKK90" s="223"/>
      <c r="KKL90" s="223"/>
      <c r="KKM90" s="224"/>
      <c r="KKN90" s="223"/>
      <c r="KKO90" s="223"/>
      <c r="KKP90" s="223"/>
      <c r="KKQ90" s="223"/>
      <c r="KKR90" s="225"/>
      <c r="KKS90" s="220"/>
      <c r="KKT90" s="221"/>
      <c r="KKU90" s="222"/>
      <c r="KKV90" s="222"/>
      <c r="KKW90" s="223"/>
      <c r="KKX90" s="223"/>
      <c r="KKY90" s="224"/>
      <c r="KKZ90" s="223"/>
      <c r="KLA90" s="223"/>
      <c r="KLB90" s="223"/>
      <c r="KLC90" s="223"/>
      <c r="KLD90" s="225"/>
      <c r="KLE90" s="220"/>
      <c r="KLF90" s="221"/>
      <c r="KLG90" s="222"/>
      <c r="KLH90" s="222"/>
      <c r="KLI90" s="223"/>
      <c r="KLJ90" s="223"/>
      <c r="KLK90" s="224"/>
      <c r="KLL90" s="223"/>
      <c r="KLM90" s="223"/>
      <c r="KLN90" s="223"/>
      <c r="KLO90" s="223"/>
      <c r="KLP90" s="225"/>
      <c r="KLQ90" s="220"/>
      <c r="KLR90" s="221"/>
      <c r="KLS90" s="222"/>
      <c r="KLT90" s="222"/>
      <c r="KLU90" s="223"/>
      <c r="KLV90" s="223"/>
      <c r="KLW90" s="224"/>
      <c r="KLX90" s="223"/>
      <c r="KLY90" s="223"/>
      <c r="KLZ90" s="223"/>
      <c r="KMA90" s="223"/>
      <c r="KMB90" s="225"/>
      <c r="KMC90" s="220"/>
      <c r="KMD90" s="221"/>
      <c r="KME90" s="222"/>
      <c r="KMF90" s="222"/>
      <c r="KMG90" s="223"/>
      <c r="KMH90" s="223"/>
      <c r="KMI90" s="224"/>
      <c r="KMJ90" s="223"/>
      <c r="KMK90" s="223"/>
      <c r="KML90" s="223"/>
      <c r="KMM90" s="223"/>
      <c r="KMN90" s="225"/>
      <c r="KMO90" s="220"/>
      <c r="KMP90" s="221"/>
      <c r="KMQ90" s="222"/>
      <c r="KMR90" s="222"/>
      <c r="KMS90" s="223"/>
      <c r="KMT90" s="223"/>
      <c r="KMU90" s="224"/>
      <c r="KMV90" s="223"/>
      <c r="KMW90" s="223"/>
      <c r="KMX90" s="223"/>
      <c r="KMY90" s="223"/>
      <c r="KMZ90" s="225"/>
      <c r="KNA90" s="220"/>
      <c r="KNB90" s="221"/>
      <c r="KNC90" s="222"/>
      <c r="KND90" s="222"/>
      <c r="KNE90" s="223"/>
      <c r="KNF90" s="223"/>
      <c r="KNG90" s="224"/>
      <c r="KNH90" s="223"/>
      <c r="KNI90" s="223"/>
      <c r="KNJ90" s="223"/>
      <c r="KNK90" s="223"/>
      <c r="KNL90" s="225"/>
      <c r="KNM90" s="220"/>
      <c r="KNN90" s="221"/>
      <c r="KNO90" s="222"/>
      <c r="KNP90" s="222"/>
      <c r="KNQ90" s="223"/>
      <c r="KNR90" s="223"/>
      <c r="KNS90" s="224"/>
      <c r="KNT90" s="223"/>
      <c r="KNU90" s="223"/>
      <c r="KNV90" s="223"/>
      <c r="KNW90" s="223"/>
      <c r="KNX90" s="225"/>
      <c r="KNY90" s="220"/>
      <c r="KNZ90" s="221"/>
      <c r="KOA90" s="222"/>
      <c r="KOB90" s="222"/>
      <c r="KOC90" s="223"/>
      <c r="KOD90" s="223"/>
      <c r="KOE90" s="224"/>
      <c r="KOF90" s="223"/>
      <c r="KOG90" s="223"/>
      <c r="KOH90" s="223"/>
      <c r="KOI90" s="223"/>
      <c r="KOJ90" s="225"/>
      <c r="KOK90" s="220"/>
      <c r="KOL90" s="221"/>
      <c r="KOM90" s="222"/>
      <c r="KON90" s="222"/>
      <c r="KOO90" s="223"/>
      <c r="KOP90" s="223"/>
      <c r="KOQ90" s="224"/>
      <c r="KOR90" s="223"/>
      <c r="KOS90" s="223"/>
      <c r="KOT90" s="223"/>
      <c r="KOU90" s="223"/>
      <c r="KOV90" s="225"/>
      <c r="KOW90" s="220"/>
      <c r="KOX90" s="221"/>
      <c r="KOY90" s="222"/>
      <c r="KOZ90" s="222"/>
      <c r="KPA90" s="223"/>
      <c r="KPB90" s="223"/>
      <c r="KPC90" s="224"/>
      <c r="KPD90" s="223"/>
      <c r="KPE90" s="223"/>
      <c r="KPF90" s="223"/>
      <c r="KPG90" s="223"/>
      <c r="KPH90" s="225"/>
      <c r="KPI90" s="220"/>
      <c r="KPJ90" s="221"/>
      <c r="KPK90" s="222"/>
      <c r="KPL90" s="222"/>
      <c r="KPM90" s="223"/>
      <c r="KPN90" s="223"/>
      <c r="KPO90" s="224"/>
      <c r="KPP90" s="223"/>
      <c r="KPQ90" s="223"/>
      <c r="KPR90" s="223"/>
      <c r="KPS90" s="223"/>
      <c r="KPT90" s="225"/>
      <c r="KPU90" s="220"/>
      <c r="KPV90" s="221"/>
      <c r="KPW90" s="222"/>
      <c r="KPX90" s="222"/>
      <c r="KPY90" s="223"/>
      <c r="KPZ90" s="223"/>
      <c r="KQA90" s="224"/>
      <c r="KQB90" s="223"/>
      <c r="KQC90" s="223"/>
      <c r="KQD90" s="223"/>
      <c r="KQE90" s="223"/>
      <c r="KQF90" s="225"/>
      <c r="KQG90" s="220"/>
      <c r="KQH90" s="221"/>
      <c r="KQI90" s="222"/>
      <c r="KQJ90" s="222"/>
      <c r="KQK90" s="223"/>
      <c r="KQL90" s="223"/>
      <c r="KQM90" s="224"/>
      <c r="KQN90" s="223"/>
      <c r="KQO90" s="223"/>
      <c r="KQP90" s="223"/>
      <c r="KQQ90" s="223"/>
      <c r="KQR90" s="225"/>
      <c r="KQS90" s="220"/>
      <c r="KQT90" s="221"/>
      <c r="KQU90" s="222"/>
      <c r="KQV90" s="222"/>
      <c r="KQW90" s="223"/>
      <c r="KQX90" s="223"/>
      <c r="KQY90" s="224"/>
      <c r="KQZ90" s="223"/>
      <c r="KRA90" s="223"/>
      <c r="KRB90" s="223"/>
      <c r="KRC90" s="223"/>
      <c r="KRD90" s="225"/>
      <c r="KRE90" s="220"/>
      <c r="KRF90" s="221"/>
      <c r="KRG90" s="222"/>
      <c r="KRH90" s="222"/>
      <c r="KRI90" s="223"/>
      <c r="KRJ90" s="223"/>
      <c r="KRK90" s="224"/>
      <c r="KRL90" s="223"/>
      <c r="KRM90" s="223"/>
      <c r="KRN90" s="223"/>
      <c r="KRO90" s="223"/>
      <c r="KRP90" s="225"/>
      <c r="KRQ90" s="220"/>
      <c r="KRR90" s="221"/>
      <c r="KRS90" s="222"/>
      <c r="KRT90" s="222"/>
      <c r="KRU90" s="223"/>
      <c r="KRV90" s="223"/>
      <c r="KRW90" s="224"/>
      <c r="KRX90" s="223"/>
      <c r="KRY90" s="223"/>
      <c r="KRZ90" s="223"/>
      <c r="KSA90" s="223"/>
      <c r="KSB90" s="225"/>
      <c r="KSC90" s="220"/>
      <c r="KSD90" s="221"/>
      <c r="KSE90" s="222"/>
      <c r="KSF90" s="222"/>
      <c r="KSG90" s="223"/>
      <c r="KSH90" s="223"/>
      <c r="KSI90" s="224"/>
      <c r="KSJ90" s="223"/>
      <c r="KSK90" s="223"/>
      <c r="KSL90" s="223"/>
      <c r="KSM90" s="223"/>
      <c r="KSN90" s="225"/>
      <c r="KSO90" s="220"/>
      <c r="KSP90" s="221"/>
      <c r="KSQ90" s="222"/>
      <c r="KSR90" s="222"/>
      <c r="KSS90" s="223"/>
      <c r="KST90" s="223"/>
      <c r="KSU90" s="224"/>
      <c r="KSV90" s="223"/>
      <c r="KSW90" s="223"/>
      <c r="KSX90" s="223"/>
      <c r="KSY90" s="223"/>
      <c r="KSZ90" s="225"/>
      <c r="KTA90" s="220"/>
      <c r="KTB90" s="221"/>
      <c r="KTC90" s="222"/>
      <c r="KTD90" s="222"/>
      <c r="KTE90" s="223"/>
      <c r="KTF90" s="223"/>
      <c r="KTG90" s="224"/>
      <c r="KTH90" s="223"/>
      <c r="KTI90" s="223"/>
      <c r="KTJ90" s="223"/>
      <c r="KTK90" s="223"/>
      <c r="KTL90" s="225"/>
      <c r="KTM90" s="220"/>
      <c r="KTN90" s="221"/>
      <c r="KTO90" s="222"/>
      <c r="KTP90" s="222"/>
      <c r="KTQ90" s="223"/>
      <c r="KTR90" s="223"/>
      <c r="KTS90" s="224"/>
      <c r="KTT90" s="223"/>
      <c r="KTU90" s="223"/>
      <c r="KTV90" s="223"/>
      <c r="KTW90" s="223"/>
      <c r="KTX90" s="225"/>
      <c r="KTY90" s="220"/>
      <c r="KTZ90" s="221"/>
      <c r="KUA90" s="222"/>
      <c r="KUB90" s="222"/>
      <c r="KUC90" s="223"/>
      <c r="KUD90" s="223"/>
      <c r="KUE90" s="224"/>
      <c r="KUF90" s="223"/>
      <c r="KUG90" s="223"/>
      <c r="KUH90" s="223"/>
      <c r="KUI90" s="223"/>
      <c r="KUJ90" s="225"/>
      <c r="KUK90" s="220"/>
      <c r="KUL90" s="221"/>
      <c r="KUM90" s="222"/>
      <c r="KUN90" s="222"/>
      <c r="KUO90" s="223"/>
      <c r="KUP90" s="223"/>
      <c r="KUQ90" s="224"/>
      <c r="KUR90" s="223"/>
      <c r="KUS90" s="223"/>
      <c r="KUT90" s="223"/>
      <c r="KUU90" s="223"/>
      <c r="KUV90" s="225"/>
      <c r="KUW90" s="220"/>
      <c r="KUX90" s="221"/>
      <c r="KUY90" s="222"/>
      <c r="KUZ90" s="222"/>
      <c r="KVA90" s="223"/>
      <c r="KVB90" s="223"/>
      <c r="KVC90" s="224"/>
      <c r="KVD90" s="223"/>
      <c r="KVE90" s="223"/>
      <c r="KVF90" s="223"/>
      <c r="KVG90" s="223"/>
      <c r="KVH90" s="225"/>
      <c r="KVI90" s="220"/>
      <c r="KVJ90" s="221"/>
      <c r="KVK90" s="222"/>
      <c r="KVL90" s="222"/>
      <c r="KVM90" s="223"/>
      <c r="KVN90" s="223"/>
      <c r="KVO90" s="224"/>
      <c r="KVP90" s="223"/>
      <c r="KVQ90" s="223"/>
      <c r="KVR90" s="223"/>
      <c r="KVS90" s="223"/>
      <c r="KVT90" s="225"/>
      <c r="KVU90" s="220"/>
      <c r="KVV90" s="221"/>
      <c r="KVW90" s="222"/>
      <c r="KVX90" s="222"/>
      <c r="KVY90" s="223"/>
      <c r="KVZ90" s="223"/>
      <c r="KWA90" s="224"/>
      <c r="KWB90" s="223"/>
      <c r="KWC90" s="223"/>
      <c r="KWD90" s="223"/>
      <c r="KWE90" s="223"/>
      <c r="KWF90" s="225"/>
      <c r="KWG90" s="220"/>
      <c r="KWH90" s="221"/>
      <c r="KWI90" s="222"/>
      <c r="KWJ90" s="222"/>
      <c r="KWK90" s="223"/>
      <c r="KWL90" s="223"/>
      <c r="KWM90" s="224"/>
      <c r="KWN90" s="223"/>
      <c r="KWO90" s="223"/>
      <c r="KWP90" s="223"/>
      <c r="KWQ90" s="223"/>
      <c r="KWR90" s="225"/>
      <c r="KWS90" s="220"/>
      <c r="KWT90" s="221"/>
      <c r="KWU90" s="222"/>
      <c r="KWV90" s="222"/>
      <c r="KWW90" s="223"/>
      <c r="KWX90" s="223"/>
      <c r="KWY90" s="224"/>
      <c r="KWZ90" s="223"/>
      <c r="KXA90" s="223"/>
      <c r="KXB90" s="223"/>
      <c r="KXC90" s="223"/>
      <c r="KXD90" s="225"/>
      <c r="KXE90" s="220"/>
      <c r="KXF90" s="221"/>
      <c r="KXG90" s="222"/>
      <c r="KXH90" s="222"/>
      <c r="KXI90" s="223"/>
      <c r="KXJ90" s="223"/>
      <c r="KXK90" s="224"/>
      <c r="KXL90" s="223"/>
      <c r="KXM90" s="223"/>
      <c r="KXN90" s="223"/>
      <c r="KXO90" s="223"/>
      <c r="KXP90" s="225"/>
      <c r="KXQ90" s="220"/>
      <c r="KXR90" s="221"/>
      <c r="KXS90" s="222"/>
      <c r="KXT90" s="222"/>
      <c r="KXU90" s="223"/>
      <c r="KXV90" s="223"/>
      <c r="KXW90" s="224"/>
      <c r="KXX90" s="223"/>
      <c r="KXY90" s="223"/>
      <c r="KXZ90" s="223"/>
      <c r="KYA90" s="223"/>
      <c r="KYB90" s="225"/>
      <c r="KYC90" s="220"/>
      <c r="KYD90" s="221"/>
      <c r="KYE90" s="222"/>
      <c r="KYF90" s="222"/>
      <c r="KYG90" s="223"/>
      <c r="KYH90" s="223"/>
      <c r="KYI90" s="224"/>
      <c r="KYJ90" s="223"/>
      <c r="KYK90" s="223"/>
      <c r="KYL90" s="223"/>
      <c r="KYM90" s="223"/>
      <c r="KYN90" s="225"/>
      <c r="KYO90" s="220"/>
      <c r="KYP90" s="221"/>
      <c r="KYQ90" s="222"/>
      <c r="KYR90" s="222"/>
      <c r="KYS90" s="223"/>
      <c r="KYT90" s="223"/>
      <c r="KYU90" s="224"/>
      <c r="KYV90" s="223"/>
      <c r="KYW90" s="223"/>
      <c r="KYX90" s="223"/>
      <c r="KYY90" s="223"/>
      <c r="KYZ90" s="225"/>
      <c r="KZA90" s="220"/>
      <c r="KZB90" s="221"/>
      <c r="KZC90" s="222"/>
      <c r="KZD90" s="222"/>
      <c r="KZE90" s="223"/>
      <c r="KZF90" s="223"/>
      <c r="KZG90" s="224"/>
      <c r="KZH90" s="223"/>
      <c r="KZI90" s="223"/>
      <c r="KZJ90" s="223"/>
      <c r="KZK90" s="223"/>
      <c r="KZL90" s="225"/>
      <c r="KZM90" s="220"/>
      <c r="KZN90" s="221"/>
      <c r="KZO90" s="222"/>
      <c r="KZP90" s="222"/>
      <c r="KZQ90" s="223"/>
      <c r="KZR90" s="223"/>
      <c r="KZS90" s="224"/>
      <c r="KZT90" s="223"/>
      <c r="KZU90" s="223"/>
      <c r="KZV90" s="223"/>
      <c r="KZW90" s="223"/>
      <c r="KZX90" s="225"/>
      <c r="KZY90" s="220"/>
      <c r="KZZ90" s="221"/>
      <c r="LAA90" s="222"/>
      <c r="LAB90" s="222"/>
      <c r="LAC90" s="223"/>
      <c r="LAD90" s="223"/>
      <c r="LAE90" s="224"/>
      <c r="LAF90" s="223"/>
      <c r="LAG90" s="223"/>
      <c r="LAH90" s="223"/>
      <c r="LAI90" s="223"/>
      <c r="LAJ90" s="225"/>
      <c r="LAK90" s="220"/>
      <c r="LAL90" s="221"/>
      <c r="LAM90" s="222"/>
      <c r="LAN90" s="222"/>
      <c r="LAO90" s="223"/>
      <c r="LAP90" s="223"/>
      <c r="LAQ90" s="224"/>
      <c r="LAR90" s="223"/>
      <c r="LAS90" s="223"/>
      <c r="LAT90" s="223"/>
      <c r="LAU90" s="223"/>
      <c r="LAV90" s="225"/>
      <c r="LAW90" s="220"/>
      <c r="LAX90" s="221"/>
      <c r="LAY90" s="222"/>
      <c r="LAZ90" s="222"/>
      <c r="LBA90" s="223"/>
      <c r="LBB90" s="223"/>
      <c r="LBC90" s="224"/>
      <c r="LBD90" s="223"/>
      <c r="LBE90" s="223"/>
      <c r="LBF90" s="223"/>
      <c r="LBG90" s="223"/>
      <c r="LBH90" s="225"/>
      <c r="LBI90" s="220"/>
      <c r="LBJ90" s="221"/>
      <c r="LBK90" s="222"/>
      <c r="LBL90" s="222"/>
      <c r="LBM90" s="223"/>
      <c r="LBN90" s="223"/>
      <c r="LBO90" s="224"/>
      <c r="LBP90" s="223"/>
      <c r="LBQ90" s="223"/>
      <c r="LBR90" s="223"/>
      <c r="LBS90" s="223"/>
      <c r="LBT90" s="225"/>
      <c r="LBU90" s="220"/>
      <c r="LBV90" s="221"/>
      <c r="LBW90" s="222"/>
      <c r="LBX90" s="222"/>
      <c r="LBY90" s="223"/>
      <c r="LBZ90" s="223"/>
      <c r="LCA90" s="224"/>
      <c r="LCB90" s="223"/>
      <c r="LCC90" s="223"/>
      <c r="LCD90" s="223"/>
      <c r="LCE90" s="223"/>
      <c r="LCF90" s="225"/>
      <c r="LCG90" s="220"/>
      <c r="LCH90" s="221"/>
      <c r="LCI90" s="222"/>
      <c r="LCJ90" s="222"/>
      <c r="LCK90" s="223"/>
      <c r="LCL90" s="223"/>
      <c r="LCM90" s="224"/>
      <c r="LCN90" s="223"/>
      <c r="LCO90" s="223"/>
      <c r="LCP90" s="223"/>
      <c r="LCQ90" s="223"/>
      <c r="LCR90" s="225"/>
      <c r="LCS90" s="220"/>
      <c r="LCT90" s="221"/>
      <c r="LCU90" s="222"/>
      <c r="LCV90" s="222"/>
      <c r="LCW90" s="223"/>
      <c r="LCX90" s="223"/>
      <c r="LCY90" s="224"/>
      <c r="LCZ90" s="223"/>
      <c r="LDA90" s="223"/>
      <c r="LDB90" s="223"/>
      <c r="LDC90" s="223"/>
      <c r="LDD90" s="225"/>
      <c r="LDE90" s="220"/>
      <c r="LDF90" s="221"/>
      <c r="LDG90" s="222"/>
      <c r="LDH90" s="222"/>
      <c r="LDI90" s="223"/>
      <c r="LDJ90" s="223"/>
      <c r="LDK90" s="224"/>
      <c r="LDL90" s="223"/>
      <c r="LDM90" s="223"/>
      <c r="LDN90" s="223"/>
      <c r="LDO90" s="223"/>
      <c r="LDP90" s="225"/>
      <c r="LDQ90" s="220"/>
      <c r="LDR90" s="221"/>
      <c r="LDS90" s="222"/>
      <c r="LDT90" s="222"/>
      <c r="LDU90" s="223"/>
      <c r="LDV90" s="223"/>
      <c r="LDW90" s="224"/>
      <c r="LDX90" s="223"/>
      <c r="LDY90" s="223"/>
      <c r="LDZ90" s="223"/>
      <c r="LEA90" s="223"/>
      <c r="LEB90" s="225"/>
      <c r="LEC90" s="220"/>
      <c r="LED90" s="221"/>
      <c r="LEE90" s="222"/>
      <c r="LEF90" s="222"/>
      <c r="LEG90" s="223"/>
      <c r="LEH90" s="223"/>
      <c r="LEI90" s="224"/>
      <c r="LEJ90" s="223"/>
      <c r="LEK90" s="223"/>
      <c r="LEL90" s="223"/>
      <c r="LEM90" s="223"/>
      <c r="LEN90" s="225"/>
      <c r="LEO90" s="220"/>
      <c r="LEP90" s="221"/>
      <c r="LEQ90" s="222"/>
      <c r="LER90" s="222"/>
      <c r="LES90" s="223"/>
      <c r="LET90" s="223"/>
      <c r="LEU90" s="224"/>
      <c r="LEV90" s="223"/>
      <c r="LEW90" s="223"/>
      <c r="LEX90" s="223"/>
      <c r="LEY90" s="223"/>
      <c r="LEZ90" s="225"/>
      <c r="LFA90" s="220"/>
      <c r="LFB90" s="221"/>
      <c r="LFC90" s="222"/>
      <c r="LFD90" s="222"/>
      <c r="LFE90" s="223"/>
      <c r="LFF90" s="223"/>
      <c r="LFG90" s="224"/>
      <c r="LFH90" s="223"/>
      <c r="LFI90" s="223"/>
      <c r="LFJ90" s="223"/>
      <c r="LFK90" s="223"/>
      <c r="LFL90" s="225"/>
      <c r="LFM90" s="220"/>
      <c r="LFN90" s="221"/>
      <c r="LFO90" s="222"/>
      <c r="LFP90" s="222"/>
      <c r="LFQ90" s="223"/>
      <c r="LFR90" s="223"/>
      <c r="LFS90" s="224"/>
      <c r="LFT90" s="223"/>
      <c r="LFU90" s="223"/>
      <c r="LFV90" s="223"/>
      <c r="LFW90" s="223"/>
      <c r="LFX90" s="225"/>
      <c r="LFY90" s="220"/>
      <c r="LFZ90" s="221"/>
      <c r="LGA90" s="222"/>
      <c r="LGB90" s="222"/>
      <c r="LGC90" s="223"/>
      <c r="LGD90" s="223"/>
      <c r="LGE90" s="224"/>
      <c r="LGF90" s="223"/>
      <c r="LGG90" s="223"/>
      <c r="LGH90" s="223"/>
      <c r="LGI90" s="223"/>
      <c r="LGJ90" s="225"/>
      <c r="LGK90" s="220"/>
      <c r="LGL90" s="221"/>
      <c r="LGM90" s="222"/>
      <c r="LGN90" s="222"/>
      <c r="LGO90" s="223"/>
      <c r="LGP90" s="223"/>
      <c r="LGQ90" s="224"/>
      <c r="LGR90" s="223"/>
      <c r="LGS90" s="223"/>
      <c r="LGT90" s="223"/>
      <c r="LGU90" s="223"/>
      <c r="LGV90" s="225"/>
      <c r="LGW90" s="220"/>
      <c r="LGX90" s="221"/>
      <c r="LGY90" s="222"/>
      <c r="LGZ90" s="222"/>
      <c r="LHA90" s="223"/>
      <c r="LHB90" s="223"/>
      <c r="LHC90" s="224"/>
      <c r="LHD90" s="223"/>
      <c r="LHE90" s="223"/>
      <c r="LHF90" s="223"/>
      <c r="LHG90" s="223"/>
      <c r="LHH90" s="225"/>
      <c r="LHI90" s="220"/>
      <c r="LHJ90" s="221"/>
      <c r="LHK90" s="222"/>
      <c r="LHL90" s="222"/>
      <c r="LHM90" s="223"/>
      <c r="LHN90" s="223"/>
      <c r="LHO90" s="224"/>
      <c r="LHP90" s="223"/>
      <c r="LHQ90" s="223"/>
      <c r="LHR90" s="223"/>
      <c r="LHS90" s="223"/>
      <c r="LHT90" s="225"/>
      <c r="LHU90" s="220"/>
      <c r="LHV90" s="221"/>
      <c r="LHW90" s="222"/>
      <c r="LHX90" s="222"/>
      <c r="LHY90" s="223"/>
      <c r="LHZ90" s="223"/>
      <c r="LIA90" s="224"/>
      <c r="LIB90" s="223"/>
      <c r="LIC90" s="223"/>
      <c r="LID90" s="223"/>
      <c r="LIE90" s="223"/>
      <c r="LIF90" s="225"/>
      <c r="LIG90" s="220"/>
      <c r="LIH90" s="221"/>
      <c r="LII90" s="222"/>
      <c r="LIJ90" s="222"/>
      <c r="LIK90" s="223"/>
      <c r="LIL90" s="223"/>
      <c r="LIM90" s="224"/>
      <c r="LIN90" s="223"/>
      <c r="LIO90" s="223"/>
      <c r="LIP90" s="223"/>
      <c r="LIQ90" s="223"/>
      <c r="LIR90" s="225"/>
      <c r="LIS90" s="220"/>
      <c r="LIT90" s="221"/>
      <c r="LIU90" s="222"/>
      <c r="LIV90" s="222"/>
      <c r="LIW90" s="223"/>
      <c r="LIX90" s="223"/>
      <c r="LIY90" s="224"/>
      <c r="LIZ90" s="223"/>
      <c r="LJA90" s="223"/>
      <c r="LJB90" s="223"/>
      <c r="LJC90" s="223"/>
      <c r="LJD90" s="225"/>
      <c r="LJE90" s="220"/>
      <c r="LJF90" s="221"/>
      <c r="LJG90" s="222"/>
      <c r="LJH90" s="222"/>
      <c r="LJI90" s="223"/>
      <c r="LJJ90" s="223"/>
      <c r="LJK90" s="224"/>
      <c r="LJL90" s="223"/>
      <c r="LJM90" s="223"/>
      <c r="LJN90" s="223"/>
      <c r="LJO90" s="223"/>
      <c r="LJP90" s="225"/>
      <c r="LJQ90" s="220"/>
      <c r="LJR90" s="221"/>
      <c r="LJS90" s="222"/>
      <c r="LJT90" s="222"/>
      <c r="LJU90" s="223"/>
      <c r="LJV90" s="223"/>
      <c r="LJW90" s="224"/>
      <c r="LJX90" s="223"/>
      <c r="LJY90" s="223"/>
      <c r="LJZ90" s="223"/>
      <c r="LKA90" s="223"/>
      <c r="LKB90" s="225"/>
      <c r="LKC90" s="220"/>
      <c r="LKD90" s="221"/>
      <c r="LKE90" s="222"/>
      <c r="LKF90" s="222"/>
      <c r="LKG90" s="223"/>
      <c r="LKH90" s="223"/>
      <c r="LKI90" s="224"/>
      <c r="LKJ90" s="223"/>
      <c r="LKK90" s="223"/>
      <c r="LKL90" s="223"/>
      <c r="LKM90" s="223"/>
      <c r="LKN90" s="225"/>
      <c r="LKO90" s="220"/>
      <c r="LKP90" s="221"/>
      <c r="LKQ90" s="222"/>
      <c r="LKR90" s="222"/>
      <c r="LKS90" s="223"/>
      <c r="LKT90" s="223"/>
      <c r="LKU90" s="224"/>
      <c r="LKV90" s="223"/>
      <c r="LKW90" s="223"/>
      <c r="LKX90" s="223"/>
      <c r="LKY90" s="223"/>
      <c r="LKZ90" s="225"/>
      <c r="LLA90" s="220"/>
      <c r="LLB90" s="221"/>
      <c r="LLC90" s="222"/>
      <c r="LLD90" s="222"/>
      <c r="LLE90" s="223"/>
      <c r="LLF90" s="223"/>
      <c r="LLG90" s="224"/>
      <c r="LLH90" s="223"/>
      <c r="LLI90" s="223"/>
      <c r="LLJ90" s="223"/>
      <c r="LLK90" s="223"/>
      <c r="LLL90" s="225"/>
      <c r="LLM90" s="220"/>
      <c r="LLN90" s="221"/>
      <c r="LLO90" s="222"/>
      <c r="LLP90" s="222"/>
      <c r="LLQ90" s="223"/>
      <c r="LLR90" s="223"/>
      <c r="LLS90" s="224"/>
      <c r="LLT90" s="223"/>
      <c r="LLU90" s="223"/>
      <c r="LLV90" s="223"/>
      <c r="LLW90" s="223"/>
      <c r="LLX90" s="225"/>
      <c r="LLY90" s="220"/>
      <c r="LLZ90" s="221"/>
      <c r="LMA90" s="222"/>
      <c r="LMB90" s="222"/>
      <c r="LMC90" s="223"/>
      <c r="LMD90" s="223"/>
      <c r="LME90" s="224"/>
      <c r="LMF90" s="223"/>
      <c r="LMG90" s="223"/>
      <c r="LMH90" s="223"/>
      <c r="LMI90" s="223"/>
      <c r="LMJ90" s="225"/>
      <c r="LMK90" s="220"/>
      <c r="LML90" s="221"/>
      <c r="LMM90" s="222"/>
      <c r="LMN90" s="222"/>
      <c r="LMO90" s="223"/>
      <c r="LMP90" s="223"/>
      <c r="LMQ90" s="224"/>
      <c r="LMR90" s="223"/>
      <c r="LMS90" s="223"/>
      <c r="LMT90" s="223"/>
      <c r="LMU90" s="223"/>
      <c r="LMV90" s="225"/>
      <c r="LMW90" s="220"/>
      <c r="LMX90" s="221"/>
      <c r="LMY90" s="222"/>
      <c r="LMZ90" s="222"/>
      <c r="LNA90" s="223"/>
      <c r="LNB90" s="223"/>
      <c r="LNC90" s="224"/>
      <c r="LND90" s="223"/>
      <c r="LNE90" s="223"/>
      <c r="LNF90" s="223"/>
      <c r="LNG90" s="223"/>
      <c r="LNH90" s="225"/>
      <c r="LNI90" s="220"/>
      <c r="LNJ90" s="221"/>
      <c r="LNK90" s="222"/>
      <c r="LNL90" s="222"/>
      <c r="LNM90" s="223"/>
      <c r="LNN90" s="223"/>
      <c r="LNO90" s="224"/>
      <c r="LNP90" s="223"/>
      <c r="LNQ90" s="223"/>
      <c r="LNR90" s="223"/>
      <c r="LNS90" s="223"/>
      <c r="LNT90" s="225"/>
      <c r="LNU90" s="220"/>
      <c r="LNV90" s="221"/>
      <c r="LNW90" s="222"/>
      <c r="LNX90" s="222"/>
      <c r="LNY90" s="223"/>
      <c r="LNZ90" s="223"/>
      <c r="LOA90" s="224"/>
      <c r="LOB90" s="223"/>
      <c r="LOC90" s="223"/>
      <c r="LOD90" s="223"/>
      <c r="LOE90" s="223"/>
      <c r="LOF90" s="225"/>
      <c r="LOG90" s="220"/>
      <c r="LOH90" s="221"/>
      <c r="LOI90" s="222"/>
      <c r="LOJ90" s="222"/>
      <c r="LOK90" s="223"/>
      <c r="LOL90" s="223"/>
      <c r="LOM90" s="224"/>
      <c r="LON90" s="223"/>
      <c r="LOO90" s="223"/>
      <c r="LOP90" s="223"/>
      <c r="LOQ90" s="223"/>
      <c r="LOR90" s="225"/>
      <c r="LOS90" s="220"/>
      <c r="LOT90" s="221"/>
      <c r="LOU90" s="222"/>
      <c r="LOV90" s="222"/>
      <c r="LOW90" s="223"/>
      <c r="LOX90" s="223"/>
      <c r="LOY90" s="224"/>
      <c r="LOZ90" s="223"/>
      <c r="LPA90" s="223"/>
      <c r="LPB90" s="223"/>
      <c r="LPC90" s="223"/>
      <c r="LPD90" s="225"/>
      <c r="LPE90" s="220"/>
      <c r="LPF90" s="221"/>
      <c r="LPG90" s="222"/>
      <c r="LPH90" s="222"/>
      <c r="LPI90" s="223"/>
      <c r="LPJ90" s="223"/>
      <c r="LPK90" s="224"/>
      <c r="LPL90" s="223"/>
      <c r="LPM90" s="223"/>
      <c r="LPN90" s="223"/>
      <c r="LPO90" s="223"/>
      <c r="LPP90" s="225"/>
      <c r="LPQ90" s="220"/>
      <c r="LPR90" s="221"/>
      <c r="LPS90" s="222"/>
      <c r="LPT90" s="222"/>
      <c r="LPU90" s="223"/>
      <c r="LPV90" s="223"/>
      <c r="LPW90" s="224"/>
      <c r="LPX90" s="223"/>
      <c r="LPY90" s="223"/>
      <c r="LPZ90" s="223"/>
      <c r="LQA90" s="223"/>
      <c r="LQB90" s="225"/>
      <c r="LQC90" s="220"/>
      <c r="LQD90" s="221"/>
      <c r="LQE90" s="222"/>
      <c r="LQF90" s="222"/>
      <c r="LQG90" s="223"/>
      <c r="LQH90" s="223"/>
      <c r="LQI90" s="224"/>
      <c r="LQJ90" s="223"/>
      <c r="LQK90" s="223"/>
      <c r="LQL90" s="223"/>
      <c r="LQM90" s="223"/>
      <c r="LQN90" s="225"/>
      <c r="LQO90" s="220"/>
      <c r="LQP90" s="221"/>
      <c r="LQQ90" s="222"/>
      <c r="LQR90" s="222"/>
      <c r="LQS90" s="223"/>
      <c r="LQT90" s="223"/>
      <c r="LQU90" s="224"/>
      <c r="LQV90" s="223"/>
      <c r="LQW90" s="223"/>
      <c r="LQX90" s="223"/>
      <c r="LQY90" s="223"/>
      <c r="LQZ90" s="225"/>
      <c r="LRA90" s="220"/>
      <c r="LRB90" s="221"/>
      <c r="LRC90" s="222"/>
      <c r="LRD90" s="222"/>
      <c r="LRE90" s="223"/>
      <c r="LRF90" s="223"/>
      <c r="LRG90" s="224"/>
      <c r="LRH90" s="223"/>
      <c r="LRI90" s="223"/>
      <c r="LRJ90" s="223"/>
      <c r="LRK90" s="223"/>
      <c r="LRL90" s="225"/>
      <c r="LRM90" s="220"/>
      <c r="LRN90" s="221"/>
      <c r="LRO90" s="222"/>
      <c r="LRP90" s="222"/>
      <c r="LRQ90" s="223"/>
      <c r="LRR90" s="223"/>
      <c r="LRS90" s="224"/>
      <c r="LRT90" s="223"/>
      <c r="LRU90" s="223"/>
      <c r="LRV90" s="223"/>
      <c r="LRW90" s="223"/>
      <c r="LRX90" s="225"/>
      <c r="LRY90" s="220"/>
      <c r="LRZ90" s="221"/>
      <c r="LSA90" s="222"/>
      <c r="LSB90" s="222"/>
      <c r="LSC90" s="223"/>
      <c r="LSD90" s="223"/>
      <c r="LSE90" s="224"/>
      <c r="LSF90" s="223"/>
      <c r="LSG90" s="223"/>
      <c r="LSH90" s="223"/>
      <c r="LSI90" s="223"/>
      <c r="LSJ90" s="225"/>
      <c r="LSK90" s="220"/>
      <c r="LSL90" s="221"/>
      <c r="LSM90" s="222"/>
      <c r="LSN90" s="222"/>
      <c r="LSO90" s="223"/>
      <c r="LSP90" s="223"/>
      <c r="LSQ90" s="224"/>
      <c r="LSR90" s="223"/>
      <c r="LSS90" s="223"/>
      <c r="LST90" s="223"/>
      <c r="LSU90" s="223"/>
      <c r="LSV90" s="225"/>
      <c r="LSW90" s="220"/>
      <c r="LSX90" s="221"/>
      <c r="LSY90" s="222"/>
      <c r="LSZ90" s="222"/>
      <c r="LTA90" s="223"/>
      <c r="LTB90" s="223"/>
      <c r="LTC90" s="224"/>
      <c r="LTD90" s="223"/>
      <c r="LTE90" s="223"/>
      <c r="LTF90" s="223"/>
      <c r="LTG90" s="223"/>
      <c r="LTH90" s="225"/>
      <c r="LTI90" s="220"/>
      <c r="LTJ90" s="221"/>
      <c r="LTK90" s="222"/>
      <c r="LTL90" s="222"/>
      <c r="LTM90" s="223"/>
      <c r="LTN90" s="223"/>
      <c r="LTO90" s="224"/>
      <c r="LTP90" s="223"/>
      <c r="LTQ90" s="223"/>
      <c r="LTR90" s="223"/>
      <c r="LTS90" s="223"/>
      <c r="LTT90" s="225"/>
      <c r="LTU90" s="220"/>
      <c r="LTV90" s="221"/>
      <c r="LTW90" s="222"/>
      <c r="LTX90" s="222"/>
      <c r="LTY90" s="223"/>
      <c r="LTZ90" s="223"/>
      <c r="LUA90" s="224"/>
      <c r="LUB90" s="223"/>
      <c r="LUC90" s="223"/>
      <c r="LUD90" s="223"/>
      <c r="LUE90" s="223"/>
      <c r="LUF90" s="225"/>
      <c r="LUG90" s="220"/>
      <c r="LUH90" s="221"/>
      <c r="LUI90" s="222"/>
      <c r="LUJ90" s="222"/>
      <c r="LUK90" s="223"/>
      <c r="LUL90" s="223"/>
      <c r="LUM90" s="224"/>
      <c r="LUN90" s="223"/>
      <c r="LUO90" s="223"/>
      <c r="LUP90" s="223"/>
      <c r="LUQ90" s="223"/>
      <c r="LUR90" s="225"/>
      <c r="LUS90" s="220"/>
      <c r="LUT90" s="221"/>
      <c r="LUU90" s="222"/>
      <c r="LUV90" s="222"/>
      <c r="LUW90" s="223"/>
      <c r="LUX90" s="223"/>
      <c r="LUY90" s="224"/>
      <c r="LUZ90" s="223"/>
      <c r="LVA90" s="223"/>
      <c r="LVB90" s="223"/>
      <c r="LVC90" s="223"/>
      <c r="LVD90" s="225"/>
      <c r="LVE90" s="220"/>
      <c r="LVF90" s="221"/>
      <c r="LVG90" s="222"/>
      <c r="LVH90" s="222"/>
      <c r="LVI90" s="223"/>
      <c r="LVJ90" s="223"/>
      <c r="LVK90" s="224"/>
      <c r="LVL90" s="223"/>
      <c r="LVM90" s="223"/>
      <c r="LVN90" s="223"/>
      <c r="LVO90" s="223"/>
      <c r="LVP90" s="225"/>
      <c r="LVQ90" s="220"/>
      <c r="LVR90" s="221"/>
      <c r="LVS90" s="222"/>
      <c r="LVT90" s="222"/>
      <c r="LVU90" s="223"/>
      <c r="LVV90" s="223"/>
      <c r="LVW90" s="224"/>
      <c r="LVX90" s="223"/>
      <c r="LVY90" s="223"/>
      <c r="LVZ90" s="223"/>
      <c r="LWA90" s="223"/>
      <c r="LWB90" s="225"/>
      <c r="LWC90" s="220"/>
      <c r="LWD90" s="221"/>
      <c r="LWE90" s="222"/>
      <c r="LWF90" s="222"/>
      <c r="LWG90" s="223"/>
      <c r="LWH90" s="223"/>
      <c r="LWI90" s="224"/>
      <c r="LWJ90" s="223"/>
      <c r="LWK90" s="223"/>
      <c r="LWL90" s="223"/>
      <c r="LWM90" s="223"/>
      <c r="LWN90" s="225"/>
      <c r="LWO90" s="220"/>
      <c r="LWP90" s="221"/>
      <c r="LWQ90" s="222"/>
      <c r="LWR90" s="222"/>
      <c r="LWS90" s="223"/>
      <c r="LWT90" s="223"/>
      <c r="LWU90" s="224"/>
      <c r="LWV90" s="223"/>
      <c r="LWW90" s="223"/>
      <c r="LWX90" s="223"/>
      <c r="LWY90" s="223"/>
      <c r="LWZ90" s="225"/>
      <c r="LXA90" s="220"/>
      <c r="LXB90" s="221"/>
      <c r="LXC90" s="222"/>
      <c r="LXD90" s="222"/>
      <c r="LXE90" s="223"/>
      <c r="LXF90" s="223"/>
      <c r="LXG90" s="224"/>
      <c r="LXH90" s="223"/>
      <c r="LXI90" s="223"/>
      <c r="LXJ90" s="223"/>
      <c r="LXK90" s="223"/>
      <c r="LXL90" s="225"/>
      <c r="LXM90" s="220"/>
      <c r="LXN90" s="221"/>
      <c r="LXO90" s="222"/>
      <c r="LXP90" s="222"/>
      <c r="LXQ90" s="223"/>
      <c r="LXR90" s="223"/>
      <c r="LXS90" s="224"/>
      <c r="LXT90" s="223"/>
      <c r="LXU90" s="223"/>
      <c r="LXV90" s="223"/>
      <c r="LXW90" s="223"/>
      <c r="LXX90" s="225"/>
      <c r="LXY90" s="220"/>
      <c r="LXZ90" s="221"/>
      <c r="LYA90" s="222"/>
      <c r="LYB90" s="222"/>
      <c r="LYC90" s="223"/>
      <c r="LYD90" s="223"/>
      <c r="LYE90" s="224"/>
      <c r="LYF90" s="223"/>
      <c r="LYG90" s="223"/>
      <c r="LYH90" s="223"/>
      <c r="LYI90" s="223"/>
      <c r="LYJ90" s="225"/>
      <c r="LYK90" s="220"/>
      <c r="LYL90" s="221"/>
      <c r="LYM90" s="222"/>
      <c r="LYN90" s="222"/>
      <c r="LYO90" s="223"/>
      <c r="LYP90" s="223"/>
      <c r="LYQ90" s="224"/>
      <c r="LYR90" s="223"/>
      <c r="LYS90" s="223"/>
      <c r="LYT90" s="223"/>
      <c r="LYU90" s="223"/>
      <c r="LYV90" s="225"/>
      <c r="LYW90" s="220"/>
      <c r="LYX90" s="221"/>
      <c r="LYY90" s="222"/>
      <c r="LYZ90" s="222"/>
      <c r="LZA90" s="223"/>
      <c r="LZB90" s="223"/>
      <c r="LZC90" s="224"/>
      <c r="LZD90" s="223"/>
      <c r="LZE90" s="223"/>
      <c r="LZF90" s="223"/>
      <c r="LZG90" s="223"/>
      <c r="LZH90" s="225"/>
      <c r="LZI90" s="220"/>
      <c r="LZJ90" s="221"/>
      <c r="LZK90" s="222"/>
      <c r="LZL90" s="222"/>
      <c r="LZM90" s="223"/>
      <c r="LZN90" s="223"/>
      <c r="LZO90" s="224"/>
      <c r="LZP90" s="223"/>
      <c r="LZQ90" s="223"/>
      <c r="LZR90" s="223"/>
      <c r="LZS90" s="223"/>
      <c r="LZT90" s="225"/>
      <c r="LZU90" s="220"/>
      <c r="LZV90" s="221"/>
      <c r="LZW90" s="222"/>
      <c r="LZX90" s="222"/>
      <c r="LZY90" s="223"/>
      <c r="LZZ90" s="223"/>
      <c r="MAA90" s="224"/>
      <c r="MAB90" s="223"/>
      <c r="MAC90" s="223"/>
      <c r="MAD90" s="223"/>
      <c r="MAE90" s="223"/>
      <c r="MAF90" s="225"/>
      <c r="MAG90" s="220"/>
      <c r="MAH90" s="221"/>
      <c r="MAI90" s="222"/>
      <c r="MAJ90" s="222"/>
      <c r="MAK90" s="223"/>
      <c r="MAL90" s="223"/>
      <c r="MAM90" s="224"/>
      <c r="MAN90" s="223"/>
      <c r="MAO90" s="223"/>
      <c r="MAP90" s="223"/>
      <c r="MAQ90" s="223"/>
      <c r="MAR90" s="225"/>
      <c r="MAS90" s="220"/>
      <c r="MAT90" s="221"/>
      <c r="MAU90" s="222"/>
      <c r="MAV90" s="222"/>
      <c r="MAW90" s="223"/>
      <c r="MAX90" s="223"/>
      <c r="MAY90" s="224"/>
      <c r="MAZ90" s="223"/>
      <c r="MBA90" s="223"/>
      <c r="MBB90" s="223"/>
      <c r="MBC90" s="223"/>
      <c r="MBD90" s="225"/>
      <c r="MBE90" s="220"/>
      <c r="MBF90" s="221"/>
      <c r="MBG90" s="222"/>
      <c r="MBH90" s="222"/>
      <c r="MBI90" s="223"/>
      <c r="MBJ90" s="223"/>
      <c r="MBK90" s="224"/>
      <c r="MBL90" s="223"/>
      <c r="MBM90" s="223"/>
      <c r="MBN90" s="223"/>
      <c r="MBO90" s="223"/>
      <c r="MBP90" s="225"/>
      <c r="MBQ90" s="220"/>
      <c r="MBR90" s="221"/>
      <c r="MBS90" s="222"/>
      <c r="MBT90" s="222"/>
      <c r="MBU90" s="223"/>
      <c r="MBV90" s="223"/>
      <c r="MBW90" s="224"/>
      <c r="MBX90" s="223"/>
      <c r="MBY90" s="223"/>
      <c r="MBZ90" s="223"/>
      <c r="MCA90" s="223"/>
      <c r="MCB90" s="225"/>
      <c r="MCC90" s="220"/>
      <c r="MCD90" s="221"/>
      <c r="MCE90" s="222"/>
      <c r="MCF90" s="222"/>
      <c r="MCG90" s="223"/>
      <c r="MCH90" s="223"/>
      <c r="MCI90" s="224"/>
      <c r="MCJ90" s="223"/>
      <c r="MCK90" s="223"/>
      <c r="MCL90" s="223"/>
      <c r="MCM90" s="223"/>
      <c r="MCN90" s="225"/>
      <c r="MCO90" s="220"/>
      <c r="MCP90" s="221"/>
      <c r="MCQ90" s="222"/>
      <c r="MCR90" s="222"/>
      <c r="MCS90" s="223"/>
      <c r="MCT90" s="223"/>
      <c r="MCU90" s="224"/>
      <c r="MCV90" s="223"/>
      <c r="MCW90" s="223"/>
      <c r="MCX90" s="223"/>
      <c r="MCY90" s="223"/>
      <c r="MCZ90" s="225"/>
      <c r="MDA90" s="220"/>
      <c r="MDB90" s="221"/>
      <c r="MDC90" s="222"/>
      <c r="MDD90" s="222"/>
      <c r="MDE90" s="223"/>
      <c r="MDF90" s="223"/>
      <c r="MDG90" s="224"/>
      <c r="MDH90" s="223"/>
      <c r="MDI90" s="223"/>
      <c r="MDJ90" s="223"/>
      <c r="MDK90" s="223"/>
      <c r="MDL90" s="225"/>
      <c r="MDM90" s="220"/>
      <c r="MDN90" s="221"/>
      <c r="MDO90" s="222"/>
      <c r="MDP90" s="222"/>
      <c r="MDQ90" s="223"/>
      <c r="MDR90" s="223"/>
      <c r="MDS90" s="224"/>
      <c r="MDT90" s="223"/>
      <c r="MDU90" s="223"/>
      <c r="MDV90" s="223"/>
      <c r="MDW90" s="223"/>
      <c r="MDX90" s="225"/>
      <c r="MDY90" s="220"/>
      <c r="MDZ90" s="221"/>
      <c r="MEA90" s="222"/>
      <c r="MEB90" s="222"/>
      <c r="MEC90" s="223"/>
      <c r="MED90" s="223"/>
      <c r="MEE90" s="224"/>
      <c r="MEF90" s="223"/>
      <c r="MEG90" s="223"/>
      <c r="MEH90" s="223"/>
      <c r="MEI90" s="223"/>
      <c r="MEJ90" s="225"/>
      <c r="MEK90" s="220"/>
      <c r="MEL90" s="221"/>
      <c r="MEM90" s="222"/>
      <c r="MEN90" s="222"/>
      <c r="MEO90" s="223"/>
      <c r="MEP90" s="223"/>
      <c r="MEQ90" s="224"/>
      <c r="MER90" s="223"/>
      <c r="MES90" s="223"/>
      <c r="MET90" s="223"/>
      <c r="MEU90" s="223"/>
      <c r="MEV90" s="225"/>
      <c r="MEW90" s="220"/>
      <c r="MEX90" s="221"/>
      <c r="MEY90" s="222"/>
      <c r="MEZ90" s="222"/>
      <c r="MFA90" s="223"/>
      <c r="MFB90" s="223"/>
      <c r="MFC90" s="224"/>
      <c r="MFD90" s="223"/>
      <c r="MFE90" s="223"/>
      <c r="MFF90" s="223"/>
      <c r="MFG90" s="223"/>
      <c r="MFH90" s="225"/>
      <c r="MFI90" s="220"/>
      <c r="MFJ90" s="221"/>
      <c r="MFK90" s="222"/>
      <c r="MFL90" s="222"/>
      <c r="MFM90" s="223"/>
      <c r="MFN90" s="223"/>
      <c r="MFO90" s="224"/>
      <c r="MFP90" s="223"/>
      <c r="MFQ90" s="223"/>
      <c r="MFR90" s="223"/>
      <c r="MFS90" s="223"/>
      <c r="MFT90" s="225"/>
      <c r="MFU90" s="220"/>
      <c r="MFV90" s="221"/>
      <c r="MFW90" s="222"/>
      <c r="MFX90" s="222"/>
      <c r="MFY90" s="223"/>
      <c r="MFZ90" s="223"/>
      <c r="MGA90" s="224"/>
      <c r="MGB90" s="223"/>
      <c r="MGC90" s="223"/>
      <c r="MGD90" s="223"/>
      <c r="MGE90" s="223"/>
      <c r="MGF90" s="225"/>
      <c r="MGG90" s="220"/>
      <c r="MGH90" s="221"/>
      <c r="MGI90" s="222"/>
      <c r="MGJ90" s="222"/>
      <c r="MGK90" s="223"/>
      <c r="MGL90" s="223"/>
      <c r="MGM90" s="224"/>
      <c r="MGN90" s="223"/>
      <c r="MGO90" s="223"/>
      <c r="MGP90" s="223"/>
      <c r="MGQ90" s="223"/>
      <c r="MGR90" s="225"/>
      <c r="MGS90" s="220"/>
      <c r="MGT90" s="221"/>
      <c r="MGU90" s="222"/>
      <c r="MGV90" s="222"/>
      <c r="MGW90" s="223"/>
      <c r="MGX90" s="223"/>
      <c r="MGY90" s="224"/>
      <c r="MGZ90" s="223"/>
      <c r="MHA90" s="223"/>
      <c r="MHB90" s="223"/>
      <c r="MHC90" s="223"/>
      <c r="MHD90" s="225"/>
      <c r="MHE90" s="220"/>
      <c r="MHF90" s="221"/>
      <c r="MHG90" s="222"/>
      <c r="MHH90" s="222"/>
      <c r="MHI90" s="223"/>
      <c r="MHJ90" s="223"/>
      <c r="MHK90" s="224"/>
      <c r="MHL90" s="223"/>
      <c r="MHM90" s="223"/>
      <c r="MHN90" s="223"/>
      <c r="MHO90" s="223"/>
      <c r="MHP90" s="225"/>
      <c r="MHQ90" s="220"/>
      <c r="MHR90" s="221"/>
      <c r="MHS90" s="222"/>
      <c r="MHT90" s="222"/>
      <c r="MHU90" s="223"/>
      <c r="MHV90" s="223"/>
      <c r="MHW90" s="224"/>
      <c r="MHX90" s="223"/>
      <c r="MHY90" s="223"/>
      <c r="MHZ90" s="223"/>
      <c r="MIA90" s="223"/>
      <c r="MIB90" s="225"/>
      <c r="MIC90" s="220"/>
      <c r="MID90" s="221"/>
      <c r="MIE90" s="222"/>
      <c r="MIF90" s="222"/>
      <c r="MIG90" s="223"/>
      <c r="MIH90" s="223"/>
      <c r="MII90" s="224"/>
      <c r="MIJ90" s="223"/>
      <c r="MIK90" s="223"/>
      <c r="MIL90" s="223"/>
      <c r="MIM90" s="223"/>
      <c r="MIN90" s="225"/>
      <c r="MIO90" s="220"/>
      <c r="MIP90" s="221"/>
      <c r="MIQ90" s="222"/>
      <c r="MIR90" s="222"/>
      <c r="MIS90" s="223"/>
      <c r="MIT90" s="223"/>
      <c r="MIU90" s="224"/>
      <c r="MIV90" s="223"/>
      <c r="MIW90" s="223"/>
      <c r="MIX90" s="223"/>
      <c r="MIY90" s="223"/>
      <c r="MIZ90" s="225"/>
      <c r="MJA90" s="220"/>
      <c r="MJB90" s="221"/>
      <c r="MJC90" s="222"/>
      <c r="MJD90" s="222"/>
      <c r="MJE90" s="223"/>
      <c r="MJF90" s="223"/>
      <c r="MJG90" s="224"/>
      <c r="MJH90" s="223"/>
      <c r="MJI90" s="223"/>
      <c r="MJJ90" s="223"/>
      <c r="MJK90" s="223"/>
      <c r="MJL90" s="225"/>
      <c r="MJM90" s="220"/>
      <c r="MJN90" s="221"/>
      <c r="MJO90" s="222"/>
      <c r="MJP90" s="222"/>
      <c r="MJQ90" s="223"/>
      <c r="MJR90" s="223"/>
      <c r="MJS90" s="224"/>
      <c r="MJT90" s="223"/>
      <c r="MJU90" s="223"/>
      <c r="MJV90" s="223"/>
      <c r="MJW90" s="223"/>
      <c r="MJX90" s="225"/>
      <c r="MJY90" s="220"/>
      <c r="MJZ90" s="221"/>
      <c r="MKA90" s="222"/>
      <c r="MKB90" s="222"/>
      <c r="MKC90" s="223"/>
      <c r="MKD90" s="223"/>
      <c r="MKE90" s="224"/>
      <c r="MKF90" s="223"/>
      <c r="MKG90" s="223"/>
      <c r="MKH90" s="223"/>
      <c r="MKI90" s="223"/>
      <c r="MKJ90" s="225"/>
      <c r="MKK90" s="220"/>
      <c r="MKL90" s="221"/>
      <c r="MKM90" s="222"/>
      <c r="MKN90" s="222"/>
      <c r="MKO90" s="223"/>
      <c r="MKP90" s="223"/>
      <c r="MKQ90" s="224"/>
      <c r="MKR90" s="223"/>
      <c r="MKS90" s="223"/>
      <c r="MKT90" s="223"/>
      <c r="MKU90" s="223"/>
      <c r="MKV90" s="225"/>
      <c r="MKW90" s="220"/>
      <c r="MKX90" s="221"/>
      <c r="MKY90" s="222"/>
      <c r="MKZ90" s="222"/>
      <c r="MLA90" s="223"/>
      <c r="MLB90" s="223"/>
      <c r="MLC90" s="224"/>
      <c r="MLD90" s="223"/>
      <c r="MLE90" s="223"/>
      <c r="MLF90" s="223"/>
      <c r="MLG90" s="223"/>
      <c r="MLH90" s="225"/>
      <c r="MLI90" s="220"/>
      <c r="MLJ90" s="221"/>
      <c r="MLK90" s="222"/>
      <c r="MLL90" s="222"/>
      <c r="MLM90" s="223"/>
      <c r="MLN90" s="223"/>
      <c r="MLO90" s="224"/>
      <c r="MLP90" s="223"/>
      <c r="MLQ90" s="223"/>
      <c r="MLR90" s="223"/>
      <c r="MLS90" s="223"/>
      <c r="MLT90" s="225"/>
      <c r="MLU90" s="220"/>
      <c r="MLV90" s="221"/>
      <c r="MLW90" s="222"/>
      <c r="MLX90" s="222"/>
      <c r="MLY90" s="223"/>
      <c r="MLZ90" s="223"/>
      <c r="MMA90" s="224"/>
      <c r="MMB90" s="223"/>
      <c r="MMC90" s="223"/>
      <c r="MMD90" s="223"/>
      <c r="MME90" s="223"/>
      <c r="MMF90" s="225"/>
      <c r="MMG90" s="220"/>
      <c r="MMH90" s="221"/>
      <c r="MMI90" s="222"/>
      <c r="MMJ90" s="222"/>
      <c r="MMK90" s="223"/>
      <c r="MML90" s="223"/>
      <c r="MMM90" s="224"/>
      <c r="MMN90" s="223"/>
      <c r="MMO90" s="223"/>
      <c r="MMP90" s="223"/>
      <c r="MMQ90" s="223"/>
      <c r="MMR90" s="225"/>
      <c r="MMS90" s="220"/>
      <c r="MMT90" s="221"/>
      <c r="MMU90" s="222"/>
      <c r="MMV90" s="222"/>
      <c r="MMW90" s="223"/>
      <c r="MMX90" s="223"/>
      <c r="MMY90" s="224"/>
      <c r="MMZ90" s="223"/>
      <c r="MNA90" s="223"/>
      <c r="MNB90" s="223"/>
      <c r="MNC90" s="223"/>
      <c r="MND90" s="225"/>
      <c r="MNE90" s="220"/>
      <c r="MNF90" s="221"/>
      <c r="MNG90" s="222"/>
      <c r="MNH90" s="222"/>
      <c r="MNI90" s="223"/>
      <c r="MNJ90" s="223"/>
      <c r="MNK90" s="224"/>
      <c r="MNL90" s="223"/>
      <c r="MNM90" s="223"/>
      <c r="MNN90" s="223"/>
      <c r="MNO90" s="223"/>
      <c r="MNP90" s="225"/>
      <c r="MNQ90" s="220"/>
      <c r="MNR90" s="221"/>
      <c r="MNS90" s="222"/>
      <c r="MNT90" s="222"/>
      <c r="MNU90" s="223"/>
      <c r="MNV90" s="223"/>
      <c r="MNW90" s="224"/>
      <c r="MNX90" s="223"/>
      <c r="MNY90" s="223"/>
      <c r="MNZ90" s="223"/>
      <c r="MOA90" s="223"/>
      <c r="MOB90" s="225"/>
      <c r="MOC90" s="220"/>
      <c r="MOD90" s="221"/>
      <c r="MOE90" s="222"/>
      <c r="MOF90" s="222"/>
      <c r="MOG90" s="223"/>
      <c r="MOH90" s="223"/>
      <c r="MOI90" s="224"/>
      <c r="MOJ90" s="223"/>
      <c r="MOK90" s="223"/>
      <c r="MOL90" s="223"/>
      <c r="MOM90" s="223"/>
      <c r="MON90" s="225"/>
      <c r="MOO90" s="220"/>
      <c r="MOP90" s="221"/>
      <c r="MOQ90" s="222"/>
      <c r="MOR90" s="222"/>
      <c r="MOS90" s="223"/>
      <c r="MOT90" s="223"/>
      <c r="MOU90" s="224"/>
      <c r="MOV90" s="223"/>
      <c r="MOW90" s="223"/>
      <c r="MOX90" s="223"/>
      <c r="MOY90" s="223"/>
      <c r="MOZ90" s="225"/>
      <c r="MPA90" s="220"/>
      <c r="MPB90" s="221"/>
      <c r="MPC90" s="222"/>
      <c r="MPD90" s="222"/>
      <c r="MPE90" s="223"/>
      <c r="MPF90" s="223"/>
      <c r="MPG90" s="224"/>
      <c r="MPH90" s="223"/>
      <c r="MPI90" s="223"/>
      <c r="MPJ90" s="223"/>
      <c r="MPK90" s="223"/>
      <c r="MPL90" s="225"/>
      <c r="MPM90" s="220"/>
      <c r="MPN90" s="221"/>
      <c r="MPO90" s="222"/>
      <c r="MPP90" s="222"/>
      <c r="MPQ90" s="223"/>
      <c r="MPR90" s="223"/>
      <c r="MPS90" s="224"/>
      <c r="MPT90" s="223"/>
      <c r="MPU90" s="223"/>
      <c r="MPV90" s="223"/>
      <c r="MPW90" s="223"/>
      <c r="MPX90" s="225"/>
      <c r="MPY90" s="220"/>
      <c r="MPZ90" s="221"/>
      <c r="MQA90" s="222"/>
      <c r="MQB90" s="222"/>
      <c r="MQC90" s="223"/>
      <c r="MQD90" s="223"/>
      <c r="MQE90" s="224"/>
      <c r="MQF90" s="223"/>
      <c r="MQG90" s="223"/>
      <c r="MQH90" s="223"/>
      <c r="MQI90" s="223"/>
      <c r="MQJ90" s="225"/>
      <c r="MQK90" s="220"/>
      <c r="MQL90" s="221"/>
      <c r="MQM90" s="222"/>
      <c r="MQN90" s="222"/>
      <c r="MQO90" s="223"/>
      <c r="MQP90" s="223"/>
      <c r="MQQ90" s="224"/>
      <c r="MQR90" s="223"/>
      <c r="MQS90" s="223"/>
      <c r="MQT90" s="223"/>
      <c r="MQU90" s="223"/>
      <c r="MQV90" s="225"/>
      <c r="MQW90" s="220"/>
      <c r="MQX90" s="221"/>
      <c r="MQY90" s="222"/>
      <c r="MQZ90" s="222"/>
      <c r="MRA90" s="223"/>
      <c r="MRB90" s="223"/>
      <c r="MRC90" s="224"/>
      <c r="MRD90" s="223"/>
      <c r="MRE90" s="223"/>
      <c r="MRF90" s="223"/>
      <c r="MRG90" s="223"/>
      <c r="MRH90" s="225"/>
      <c r="MRI90" s="220"/>
      <c r="MRJ90" s="221"/>
      <c r="MRK90" s="222"/>
      <c r="MRL90" s="222"/>
      <c r="MRM90" s="223"/>
      <c r="MRN90" s="223"/>
      <c r="MRO90" s="224"/>
      <c r="MRP90" s="223"/>
      <c r="MRQ90" s="223"/>
      <c r="MRR90" s="223"/>
      <c r="MRS90" s="223"/>
      <c r="MRT90" s="225"/>
      <c r="MRU90" s="220"/>
      <c r="MRV90" s="221"/>
      <c r="MRW90" s="222"/>
      <c r="MRX90" s="222"/>
      <c r="MRY90" s="223"/>
      <c r="MRZ90" s="223"/>
      <c r="MSA90" s="224"/>
      <c r="MSB90" s="223"/>
      <c r="MSC90" s="223"/>
      <c r="MSD90" s="223"/>
      <c r="MSE90" s="223"/>
      <c r="MSF90" s="225"/>
      <c r="MSG90" s="220"/>
      <c r="MSH90" s="221"/>
      <c r="MSI90" s="222"/>
      <c r="MSJ90" s="222"/>
      <c r="MSK90" s="223"/>
      <c r="MSL90" s="223"/>
      <c r="MSM90" s="224"/>
      <c r="MSN90" s="223"/>
      <c r="MSO90" s="223"/>
      <c r="MSP90" s="223"/>
      <c r="MSQ90" s="223"/>
      <c r="MSR90" s="225"/>
      <c r="MSS90" s="220"/>
      <c r="MST90" s="221"/>
      <c r="MSU90" s="222"/>
      <c r="MSV90" s="222"/>
      <c r="MSW90" s="223"/>
      <c r="MSX90" s="223"/>
      <c r="MSY90" s="224"/>
      <c r="MSZ90" s="223"/>
      <c r="MTA90" s="223"/>
      <c r="MTB90" s="223"/>
      <c r="MTC90" s="223"/>
      <c r="MTD90" s="225"/>
      <c r="MTE90" s="220"/>
      <c r="MTF90" s="221"/>
      <c r="MTG90" s="222"/>
      <c r="MTH90" s="222"/>
      <c r="MTI90" s="223"/>
      <c r="MTJ90" s="223"/>
      <c r="MTK90" s="224"/>
      <c r="MTL90" s="223"/>
      <c r="MTM90" s="223"/>
      <c r="MTN90" s="223"/>
      <c r="MTO90" s="223"/>
      <c r="MTP90" s="225"/>
      <c r="MTQ90" s="220"/>
      <c r="MTR90" s="221"/>
      <c r="MTS90" s="222"/>
      <c r="MTT90" s="222"/>
      <c r="MTU90" s="223"/>
      <c r="MTV90" s="223"/>
      <c r="MTW90" s="224"/>
      <c r="MTX90" s="223"/>
      <c r="MTY90" s="223"/>
      <c r="MTZ90" s="223"/>
      <c r="MUA90" s="223"/>
      <c r="MUB90" s="225"/>
      <c r="MUC90" s="220"/>
      <c r="MUD90" s="221"/>
      <c r="MUE90" s="222"/>
      <c r="MUF90" s="222"/>
      <c r="MUG90" s="223"/>
      <c r="MUH90" s="223"/>
      <c r="MUI90" s="224"/>
      <c r="MUJ90" s="223"/>
      <c r="MUK90" s="223"/>
      <c r="MUL90" s="223"/>
      <c r="MUM90" s="223"/>
      <c r="MUN90" s="225"/>
      <c r="MUO90" s="220"/>
      <c r="MUP90" s="221"/>
      <c r="MUQ90" s="222"/>
      <c r="MUR90" s="222"/>
      <c r="MUS90" s="223"/>
      <c r="MUT90" s="223"/>
      <c r="MUU90" s="224"/>
      <c r="MUV90" s="223"/>
      <c r="MUW90" s="223"/>
      <c r="MUX90" s="223"/>
      <c r="MUY90" s="223"/>
      <c r="MUZ90" s="225"/>
      <c r="MVA90" s="220"/>
      <c r="MVB90" s="221"/>
      <c r="MVC90" s="222"/>
      <c r="MVD90" s="222"/>
      <c r="MVE90" s="223"/>
      <c r="MVF90" s="223"/>
      <c r="MVG90" s="224"/>
      <c r="MVH90" s="223"/>
      <c r="MVI90" s="223"/>
      <c r="MVJ90" s="223"/>
      <c r="MVK90" s="223"/>
      <c r="MVL90" s="225"/>
      <c r="MVM90" s="220"/>
      <c r="MVN90" s="221"/>
      <c r="MVO90" s="222"/>
      <c r="MVP90" s="222"/>
      <c r="MVQ90" s="223"/>
      <c r="MVR90" s="223"/>
      <c r="MVS90" s="224"/>
      <c r="MVT90" s="223"/>
      <c r="MVU90" s="223"/>
      <c r="MVV90" s="223"/>
      <c r="MVW90" s="223"/>
      <c r="MVX90" s="225"/>
      <c r="MVY90" s="220"/>
      <c r="MVZ90" s="221"/>
      <c r="MWA90" s="222"/>
      <c r="MWB90" s="222"/>
      <c r="MWC90" s="223"/>
      <c r="MWD90" s="223"/>
      <c r="MWE90" s="224"/>
      <c r="MWF90" s="223"/>
      <c r="MWG90" s="223"/>
      <c r="MWH90" s="223"/>
      <c r="MWI90" s="223"/>
      <c r="MWJ90" s="225"/>
      <c r="MWK90" s="220"/>
      <c r="MWL90" s="221"/>
      <c r="MWM90" s="222"/>
      <c r="MWN90" s="222"/>
      <c r="MWO90" s="223"/>
      <c r="MWP90" s="223"/>
      <c r="MWQ90" s="224"/>
      <c r="MWR90" s="223"/>
      <c r="MWS90" s="223"/>
      <c r="MWT90" s="223"/>
      <c r="MWU90" s="223"/>
      <c r="MWV90" s="225"/>
      <c r="MWW90" s="220"/>
      <c r="MWX90" s="221"/>
      <c r="MWY90" s="222"/>
      <c r="MWZ90" s="222"/>
      <c r="MXA90" s="223"/>
      <c r="MXB90" s="223"/>
      <c r="MXC90" s="224"/>
      <c r="MXD90" s="223"/>
      <c r="MXE90" s="223"/>
      <c r="MXF90" s="223"/>
      <c r="MXG90" s="223"/>
      <c r="MXH90" s="225"/>
      <c r="MXI90" s="220"/>
      <c r="MXJ90" s="221"/>
      <c r="MXK90" s="222"/>
      <c r="MXL90" s="222"/>
      <c r="MXM90" s="223"/>
      <c r="MXN90" s="223"/>
      <c r="MXO90" s="224"/>
      <c r="MXP90" s="223"/>
      <c r="MXQ90" s="223"/>
      <c r="MXR90" s="223"/>
      <c r="MXS90" s="223"/>
      <c r="MXT90" s="225"/>
      <c r="MXU90" s="220"/>
      <c r="MXV90" s="221"/>
      <c r="MXW90" s="222"/>
      <c r="MXX90" s="222"/>
      <c r="MXY90" s="223"/>
      <c r="MXZ90" s="223"/>
      <c r="MYA90" s="224"/>
      <c r="MYB90" s="223"/>
      <c r="MYC90" s="223"/>
      <c r="MYD90" s="223"/>
      <c r="MYE90" s="223"/>
      <c r="MYF90" s="225"/>
      <c r="MYG90" s="220"/>
      <c r="MYH90" s="221"/>
      <c r="MYI90" s="222"/>
      <c r="MYJ90" s="222"/>
      <c r="MYK90" s="223"/>
      <c r="MYL90" s="223"/>
      <c r="MYM90" s="224"/>
      <c r="MYN90" s="223"/>
      <c r="MYO90" s="223"/>
      <c r="MYP90" s="223"/>
      <c r="MYQ90" s="223"/>
      <c r="MYR90" s="225"/>
      <c r="MYS90" s="220"/>
      <c r="MYT90" s="221"/>
      <c r="MYU90" s="222"/>
      <c r="MYV90" s="222"/>
      <c r="MYW90" s="223"/>
      <c r="MYX90" s="223"/>
      <c r="MYY90" s="224"/>
      <c r="MYZ90" s="223"/>
      <c r="MZA90" s="223"/>
      <c r="MZB90" s="223"/>
      <c r="MZC90" s="223"/>
      <c r="MZD90" s="225"/>
      <c r="MZE90" s="220"/>
      <c r="MZF90" s="221"/>
      <c r="MZG90" s="222"/>
      <c r="MZH90" s="222"/>
      <c r="MZI90" s="223"/>
      <c r="MZJ90" s="223"/>
      <c r="MZK90" s="224"/>
      <c r="MZL90" s="223"/>
      <c r="MZM90" s="223"/>
      <c r="MZN90" s="223"/>
      <c r="MZO90" s="223"/>
      <c r="MZP90" s="225"/>
      <c r="MZQ90" s="220"/>
      <c r="MZR90" s="221"/>
      <c r="MZS90" s="222"/>
      <c r="MZT90" s="222"/>
      <c r="MZU90" s="223"/>
      <c r="MZV90" s="223"/>
      <c r="MZW90" s="224"/>
      <c r="MZX90" s="223"/>
      <c r="MZY90" s="223"/>
      <c r="MZZ90" s="223"/>
      <c r="NAA90" s="223"/>
      <c r="NAB90" s="225"/>
      <c r="NAC90" s="220"/>
      <c r="NAD90" s="221"/>
      <c r="NAE90" s="222"/>
      <c r="NAF90" s="222"/>
      <c r="NAG90" s="223"/>
      <c r="NAH90" s="223"/>
      <c r="NAI90" s="224"/>
      <c r="NAJ90" s="223"/>
      <c r="NAK90" s="223"/>
      <c r="NAL90" s="223"/>
      <c r="NAM90" s="223"/>
      <c r="NAN90" s="225"/>
      <c r="NAO90" s="220"/>
      <c r="NAP90" s="221"/>
      <c r="NAQ90" s="222"/>
      <c r="NAR90" s="222"/>
      <c r="NAS90" s="223"/>
      <c r="NAT90" s="223"/>
      <c r="NAU90" s="224"/>
      <c r="NAV90" s="223"/>
      <c r="NAW90" s="223"/>
      <c r="NAX90" s="223"/>
      <c r="NAY90" s="223"/>
      <c r="NAZ90" s="225"/>
      <c r="NBA90" s="220"/>
      <c r="NBB90" s="221"/>
      <c r="NBC90" s="222"/>
      <c r="NBD90" s="222"/>
      <c r="NBE90" s="223"/>
      <c r="NBF90" s="223"/>
      <c r="NBG90" s="224"/>
      <c r="NBH90" s="223"/>
      <c r="NBI90" s="223"/>
      <c r="NBJ90" s="223"/>
      <c r="NBK90" s="223"/>
      <c r="NBL90" s="225"/>
      <c r="NBM90" s="220"/>
      <c r="NBN90" s="221"/>
      <c r="NBO90" s="222"/>
      <c r="NBP90" s="222"/>
      <c r="NBQ90" s="223"/>
      <c r="NBR90" s="223"/>
      <c r="NBS90" s="224"/>
      <c r="NBT90" s="223"/>
      <c r="NBU90" s="223"/>
      <c r="NBV90" s="223"/>
      <c r="NBW90" s="223"/>
      <c r="NBX90" s="225"/>
      <c r="NBY90" s="220"/>
      <c r="NBZ90" s="221"/>
      <c r="NCA90" s="222"/>
      <c r="NCB90" s="222"/>
      <c r="NCC90" s="223"/>
      <c r="NCD90" s="223"/>
      <c r="NCE90" s="224"/>
      <c r="NCF90" s="223"/>
      <c r="NCG90" s="223"/>
      <c r="NCH90" s="223"/>
      <c r="NCI90" s="223"/>
      <c r="NCJ90" s="225"/>
      <c r="NCK90" s="220"/>
      <c r="NCL90" s="221"/>
      <c r="NCM90" s="222"/>
      <c r="NCN90" s="222"/>
      <c r="NCO90" s="223"/>
      <c r="NCP90" s="223"/>
      <c r="NCQ90" s="224"/>
      <c r="NCR90" s="223"/>
      <c r="NCS90" s="223"/>
      <c r="NCT90" s="223"/>
      <c r="NCU90" s="223"/>
      <c r="NCV90" s="225"/>
      <c r="NCW90" s="220"/>
      <c r="NCX90" s="221"/>
      <c r="NCY90" s="222"/>
      <c r="NCZ90" s="222"/>
      <c r="NDA90" s="223"/>
      <c r="NDB90" s="223"/>
      <c r="NDC90" s="224"/>
      <c r="NDD90" s="223"/>
      <c r="NDE90" s="223"/>
      <c r="NDF90" s="223"/>
      <c r="NDG90" s="223"/>
      <c r="NDH90" s="225"/>
      <c r="NDI90" s="220"/>
      <c r="NDJ90" s="221"/>
      <c r="NDK90" s="222"/>
      <c r="NDL90" s="222"/>
      <c r="NDM90" s="223"/>
      <c r="NDN90" s="223"/>
      <c r="NDO90" s="224"/>
      <c r="NDP90" s="223"/>
      <c r="NDQ90" s="223"/>
      <c r="NDR90" s="223"/>
      <c r="NDS90" s="223"/>
      <c r="NDT90" s="225"/>
      <c r="NDU90" s="220"/>
      <c r="NDV90" s="221"/>
      <c r="NDW90" s="222"/>
      <c r="NDX90" s="222"/>
      <c r="NDY90" s="223"/>
      <c r="NDZ90" s="223"/>
      <c r="NEA90" s="224"/>
      <c r="NEB90" s="223"/>
      <c r="NEC90" s="223"/>
      <c r="NED90" s="223"/>
      <c r="NEE90" s="223"/>
      <c r="NEF90" s="225"/>
      <c r="NEG90" s="220"/>
      <c r="NEH90" s="221"/>
      <c r="NEI90" s="222"/>
      <c r="NEJ90" s="222"/>
      <c r="NEK90" s="223"/>
      <c r="NEL90" s="223"/>
      <c r="NEM90" s="224"/>
      <c r="NEN90" s="223"/>
      <c r="NEO90" s="223"/>
      <c r="NEP90" s="223"/>
      <c r="NEQ90" s="223"/>
      <c r="NER90" s="225"/>
      <c r="NES90" s="220"/>
      <c r="NET90" s="221"/>
      <c r="NEU90" s="222"/>
      <c r="NEV90" s="222"/>
      <c r="NEW90" s="223"/>
      <c r="NEX90" s="223"/>
      <c r="NEY90" s="224"/>
      <c r="NEZ90" s="223"/>
      <c r="NFA90" s="223"/>
      <c r="NFB90" s="223"/>
      <c r="NFC90" s="223"/>
      <c r="NFD90" s="225"/>
      <c r="NFE90" s="220"/>
      <c r="NFF90" s="221"/>
      <c r="NFG90" s="222"/>
      <c r="NFH90" s="222"/>
      <c r="NFI90" s="223"/>
      <c r="NFJ90" s="223"/>
      <c r="NFK90" s="224"/>
      <c r="NFL90" s="223"/>
      <c r="NFM90" s="223"/>
      <c r="NFN90" s="223"/>
      <c r="NFO90" s="223"/>
      <c r="NFP90" s="225"/>
      <c r="NFQ90" s="220"/>
      <c r="NFR90" s="221"/>
      <c r="NFS90" s="222"/>
      <c r="NFT90" s="222"/>
      <c r="NFU90" s="223"/>
      <c r="NFV90" s="223"/>
      <c r="NFW90" s="224"/>
      <c r="NFX90" s="223"/>
      <c r="NFY90" s="223"/>
      <c r="NFZ90" s="223"/>
      <c r="NGA90" s="223"/>
      <c r="NGB90" s="225"/>
      <c r="NGC90" s="220"/>
      <c r="NGD90" s="221"/>
      <c r="NGE90" s="222"/>
      <c r="NGF90" s="222"/>
      <c r="NGG90" s="223"/>
      <c r="NGH90" s="223"/>
      <c r="NGI90" s="224"/>
      <c r="NGJ90" s="223"/>
      <c r="NGK90" s="223"/>
      <c r="NGL90" s="223"/>
      <c r="NGM90" s="223"/>
      <c r="NGN90" s="225"/>
      <c r="NGO90" s="220"/>
      <c r="NGP90" s="221"/>
      <c r="NGQ90" s="222"/>
      <c r="NGR90" s="222"/>
      <c r="NGS90" s="223"/>
      <c r="NGT90" s="223"/>
      <c r="NGU90" s="224"/>
      <c r="NGV90" s="223"/>
      <c r="NGW90" s="223"/>
      <c r="NGX90" s="223"/>
      <c r="NGY90" s="223"/>
      <c r="NGZ90" s="225"/>
      <c r="NHA90" s="220"/>
      <c r="NHB90" s="221"/>
      <c r="NHC90" s="222"/>
      <c r="NHD90" s="222"/>
      <c r="NHE90" s="223"/>
      <c r="NHF90" s="223"/>
      <c r="NHG90" s="224"/>
      <c r="NHH90" s="223"/>
      <c r="NHI90" s="223"/>
      <c r="NHJ90" s="223"/>
      <c r="NHK90" s="223"/>
      <c r="NHL90" s="225"/>
      <c r="NHM90" s="220"/>
      <c r="NHN90" s="221"/>
      <c r="NHO90" s="222"/>
      <c r="NHP90" s="222"/>
      <c r="NHQ90" s="223"/>
      <c r="NHR90" s="223"/>
      <c r="NHS90" s="224"/>
      <c r="NHT90" s="223"/>
      <c r="NHU90" s="223"/>
      <c r="NHV90" s="223"/>
      <c r="NHW90" s="223"/>
      <c r="NHX90" s="225"/>
      <c r="NHY90" s="220"/>
      <c r="NHZ90" s="221"/>
      <c r="NIA90" s="222"/>
      <c r="NIB90" s="222"/>
      <c r="NIC90" s="223"/>
      <c r="NID90" s="223"/>
      <c r="NIE90" s="224"/>
      <c r="NIF90" s="223"/>
      <c r="NIG90" s="223"/>
      <c r="NIH90" s="223"/>
      <c r="NII90" s="223"/>
      <c r="NIJ90" s="225"/>
      <c r="NIK90" s="220"/>
      <c r="NIL90" s="221"/>
      <c r="NIM90" s="222"/>
      <c r="NIN90" s="222"/>
      <c r="NIO90" s="223"/>
      <c r="NIP90" s="223"/>
      <c r="NIQ90" s="224"/>
      <c r="NIR90" s="223"/>
      <c r="NIS90" s="223"/>
      <c r="NIT90" s="223"/>
      <c r="NIU90" s="223"/>
      <c r="NIV90" s="225"/>
      <c r="NIW90" s="220"/>
      <c r="NIX90" s="221"/>
      <c r="NIY90" s="222"/>
      <c r="NIZ90" s="222"/>
      <c r="NJA90" s="223"/>
      <c r="NJB90" s="223"/>
      <c r="NJC90" s="224"/>
      <c r="NJD90" s="223"/>
      <c r="NJE90" s="223"/>
      <c r="NJF90" s="223"/>
      <c r="NJG90" s="223"/>
      <c r="NJH90" s="225"/>
      <c r="NJI90" s="220"/>
      <c r="NJJ90" s="221"/>
      <c r="NJK90" s="222"/>
      <c r="NJL90" s="222"/>
      <c r="NJM90" s="223"/>
      <c r="NJN90" s="223"/>
      <c r="NJO90" s="224"/>
      <c r="NJP90" s="223"/>
      <c r="NJQ90" s="223"/>
      <c r="NJR90" s="223"/>
      <c r="NJS90" s="223"/>
      <c r="NJT90" s="225"/>
      <c r="NJU90" s="220"/>
      <c r="NJV90" s="221"/>
      <c r="NJW90" s="222"/>
      <c r="NJX90" s="222"/>
      <c r="NJY90" s="223"/>
      <c r="NJZ90" s="223"/>
      <c r="NKA90" s="224"/>
      <c r="NKB90" s="223"/>
      <c r="NKC90" s="223"/>
      <c r="NKD90" s="223"/>
      <c r="NKE90" s="223"/>
      <c r="NKF90" s="225"/>
      <c r="NKG90" s="220"/>
      <c r="NKH90" s="221"/>
      <c r="NKI90" s="222"/>
      <c r="NKJ90" s="222"/>
      <c r="NKK90" s="223"/>
      <c r="NKL90" s="223"/>
      <c r="NKM90" s="224"/>
      <c r="NKN90" s="223"/>
      <c r="NKO90" s="223"/>
      <c r="NKP90" s="223"/>
      <c r="NKQ90" s="223"/>
      <c r="NKR90" s="225"/>
      <c r="NKS90" s="220"/>
      <c r="NKT90" s="221"/>
      <c r="NKU90" s="222"/>
      <c r="NKV90" s="222"/>
      <c r="NKW90" s="223"/>
      <c r="NKX90" s="223"/>
      <c r="NKY90" s="224"/>
      <c r="NKZ90" s="223"/>
      <c r="NLA90" s="223"/>
      <c r="NLB90" s="223"/>
      <c r="NLC90" s="223"/>
      <c r="NLD90" s="225"/>
      <c r="NLE90" s="220"/>
      <c r="NLF90" s="221"/>
      <c r="NLG90" s="222"/>
      <c r="NLH90" s="222"/>
      <c r="NLI90" s="223"/>
      <c r="NLJ90" s="223"/>
      <c r="NLK90" s="224"/>
      <c r="NLL90" s="223"/>
      <c r="NLM90" s="223"/>
      <c r="NLN90" s="223"/>
      <c r="NLO90" s="223"/>
      <c r="NLP90" s="225"/>
      <c r="NLQ90" s="220"/>
      <c r="NLR90" s="221"/>
      <c r="NLS90" s="222"/>
      <c r="NLT90" s="222"/>
      <c r="NLU90" s="223"/>
      <c r="NLV90" s="223"/>
      <c r="NLW90" s="224"/>
      <c r="NLX90" s="223"/>
      <c r="NLY90" s="223"/>
      <c r="NLZ90" s="223"/>
      <c r="NMA90" s="223"/>
      <c r="NMB90" s="225"/>
      <c r="NMC90" s="220"/>
      <c r="NMD90" s="221"/>
      <c r="NME90" s="222"/>
      <c r="NMF90" s="222"/>
      <c r="NMG90" s="223"/>
      <c r="NMH90" s="223"/>
      <c r="NMI90" s="224"/>
      <c r="NMJ90" s="223"/>
      <c r="NMK90" s="223"/>
      <c r="NML90" s="223"/>
      <c r="NMM90" s="223"/>
      <c r="NMN90" s="225"/>
      <c r="NMO90" s="220"/>
      <c r="NMP90" s="221"/>
      <c r="NMQ90" s="222"/>
      <c r="NMR90" s="222"/>
      <c r="NMS90" s="223"/>
      <c r="NMT90" s="223"/>
      <c r="NMU90" s="224"/>
      <c r="NMV90" s="223"/>
      <c r="NMW90" s="223"/>
      <c r="NMX90" s="223"/>
      <c r="NMY90" s="223"/>
      <c r="NMZ90" s="225"/>
      <c r="NNA90" s="220"/>
      <c r="NNB90" s="221"/>
      <c r="NNC90" s="222"/>
      <c r="NND90" s="222"/>
      <c r="NNE90" s="223"/>
      <c r="NNF90" s="223"/>
      <c r="NNG90" s="224"/>
      <c r="NNH90" s="223"/>
      <c r="NNI90" s="223"/>
      <c r="NNJ90" s="223"/>
      <c r="NNK90" s="223"/>
      <c r="NNL90" s="225"/>
      <c r="NNM90" s="220"/>
      <c r="NNN90" s="221"/>
      <c r="NNO90" s="222"/>
      <c r="NNP90" s="222"/>
      <c r="NNQ90" s="223"/>
      <c r="NNR90" s="223"/>
      <c r="NNS90" s="224"/>
      <c r="NNT90" s="223"/>
      <c r="NNU90" s="223"/>
      <c r="NNV90" s="223"/>
      <c r="NNW90" s="223"/>
      <c r="NNX90" s="225"/>
      <c r="NNY90" s="220"/>
      <c r="NNZ90" s="221"/>
      <c r="NOA90" s="222"/>
      <c r="NOB90" s="222"/>
      <c r="NOC90" s="223"/>
      <c r="NOD90" s="223"/>
      <c r="NOE90" s="224"/>
      <c r="NOF90" s="223"/>
      <c r="NOG90" s="223"/>
      <c r="NOH90" s="223"/>
      <c r="NOI90" s="223"/>
      <c r="NOJ90" s="225"/>
      <c r="NOK90" s="220"/>
      <c r="NOL90" s="221"/>
      <c r="NOM90" s="222"/>
      <c r="NON90" s="222"/>
      <c r="NOO90" s="223"/>
      <c r="NOP90" s="223"/>
      <c r="NOQ90" s="224"/>
      <c r="NOR90" s="223"/>
      <c r="NOS90" s="223"/>
      <c r="NOT90" s="223"/>
      <c r="NOU90" s="223"/>
      <c r="NOV90" s="225"/>
      <c r="NOW90" s="220"/>
      <c r="NOX90" s="221"/>
      <c r="NOY90" s="222"/>
      <c r="NOZ90" s="222"/>
      <c r="NPA90" s="223"/>
      <c r="NPB90" s="223"/>
      <c r="NPC90" s="224"/>
      <c r="NPD90" s="223"/>
      <c r="NPE90" s="223"/>
      <c r="NPF90" s="223"/>
      <c r="NPG90" s="223"/>
      <c r="NPH90" s="225"/>
      <c r="NPI90" s="220"/>
      <c r="NPJ90" s="221"/>
      <c r="NPK90" s="222"/>
      <c r="NPL90" s="222"/>
      <c r="NPM90" s="223"/>
      <c r="NPN90" s="223"/>
      <c r="NPO90" s="224"/>
      <c r="NPP90" s="223"/>
      <c r="NPQ90" s="223"/>
      <c r="NPR90" s="223"/>
      <c r="NPS90" s="223"/>
      <c r="NPT90" s="225"/>
      <c r="NPU90" s="220"/>
      <c r="NPV90" s="221"/>
      <c r="NPW90" s="222"/>
      <c r="NPX90" s="222"/>
      <c r="NPY90" s="223"/>
      <c r="NPZ90" s="223"/>
      <c r="NQA90" s="224"/>
      <c r="NQB90" s="223"/>
      <c r="NQC90" s="223"/>
      <c r="NQD90" s="223"/>
      <c r="NQE90" s="223"/>
      <c r="NQF90" s="225"/>
      <c r="NQG90" s="220"/>
      <c r="NQH90" s="221"/>
      <c r="NQI90" s="222"/>
      <c r="NQJ90" s="222"/>
      <c r="NQK90" s="223"/>
      <c r="NQL90" s="223"/>
      <c r="NQM90" s="224"/>
      <c r="NQN90" s="223"/>
      <c r="NQO90" s="223"/>
      <c r="NQP90" s="223"/>
      <c r="NQQ90" s="223"/>
      <c r="NQR90" s="225"/>
      <c r="NQS90" s="220"/>
      <c r="NQT90" s="221"/>
      <c r="NQU90" s="222"/>
      <c r="NQV90" s="222"/>
      <c r="NQW90" s="223"/>
      <c r="NQX90" s="223"/>
      <c r="NQY90" s="224"/>
      <c r="NQZ90" s="223"/>
      <c r="NRA90" s="223"/>
      <c r="NRB90" s="223"/>
      <c r="NRC90" s="223"/>
      <c r="NRD90" s="225"/>
      <c r="NRE90" s="220"/>
      <c r="NRF90" s="221"/>
      <c r="NRG90" s="222"/>
      <c r="NRH90" s="222"/>
      <c r="NRI90" s="223"/>
      <c r="NRJ90" s="223"/>
      <c r="NRK90" s="224"/>
      <c r="NRL90" s="223"/>
      <c r="NRM90" s="223"/>
      <c r="NRN90" s="223"/>
      <c r="NRO90" s="223"/>
      <c r="NRP90" s="225"/>
      <c r="NRQ90" s="220"/>
      <c r="NRR90" s="221"/>
      <c r="NRS90" s="222"/>
      <c r="NRT90" s="222"/>
      <c r="NRU90" s="223"/>
      <c r="NRV90" s="223"/>
      <c r="NRW90" s="224"/>
      <c r="NRX90" s="223"/>
      <c r="NRY90" s="223"/>
      <c r="NRZ90" s="223"/>
      <c r="NSA90" s="223"/>
      <c r="NSB90" s="225"/>
      <c r="NSC90" s="220"/>
      <c r="NSD90" s="221"/>
      <c r="NSE90" s="222"/>
      <c r="NSF90" s="222"/>
      <c r="NSG90" s="223"/>
      <c r="NSH90" s="223"/>
      <c r="NSI90" s="224"/>
      <c r="NSJ90" s="223"/>
      <c r="NSK90" s="223"/>
      <c r="NSL90" s="223"/>
      <c r="NSM90" s="223"/>
      <c r="NSN90" s="225"/>
      <c r="NSO90" s="220"/>
      <c r="NSP90" s="221"/>
      <c r="NSQ90" s="222"/>
      <c r="NSR90" s="222"/>
      <c r="NSS90" s="223"/>
      <c r="NST90" s="223"/>
      <c r="NSU90" s="224"/>
      <c r="NSV90" s="223"/>
      <c r="NSW90" s="223"/>
      <c r="NSX90" s="223"/>
      <c r="NSY90" s="223"/>
      <c r="NSZ90" s="225"/>
      <c r="NTA90" s="220"/>
      <c r="NTB90" s="221"/>
      <c r="NTC90" s="222"/>
      <c r="NTD90" s="222"/>
      <c r="NTE90" s="223"/>
      <c r="NTF90" s="223"/>
      <c r="NTG90" s="224"/>
      <c r="NTH90" s="223"/>
      <c r="NTI90" s="223"/>
      <c r="NTJ90" s="223"/>
      <c r="NTK90" s="223"/>
      <c r="NTL90" s="225"/>
      <c r="NTM90" s="220"/>
      <c r="NTN90" s="221"/>
      <c r="NTO90" s="222"/>
      <c r="NTP90" s="222"/>
      <c r="NTQ90" s="223"/>
      <c r="NTR90" s="223"/>
      <c r="NTS90" s="224"/>
      <c r="NTT90" s="223"/>
      <c r="NTU90" s="223"/>
      <c r="NTV90" s="223"/>
      <c r="NTW90" s="223"/>
      <c r="NTX90" s="225"/>
      <c r="NTY90" s="220"/>
      <c r="NTZ90" s="221"/>
      <c r="NUA90" s="222"/>
      <c r="NUB90" s="222"/>
      <c r="NUC90" s="223"/>
      <c r="NUD90" s="223"/>
      <c r="NUE90" s="224"/>
      <c r="NUF90" s="223"/>
      <c r="NUG90" s="223"/>
      <c r="NUH90" s="223"/>
      <c r="NUI90" s="223"/>
      <c r="NUJ90" s="225"/>
      <c r="NUK90" s="220"/>
      <c r="NUL90" s="221"/>
      <c r="NUM90" s="222"/>
      <c r="NUN90" s="222"/>
      <c r="NUO90" s="223"/>
      <c r="NUP90" s="223"/>
      <c r="NUQ90" s="224"/>
      <c r="NUR90" s="223"/>
      <c r="NUS90" s="223"/>
      <c r="NUT90" s="223"/>
      <c r="NUU90" s="223"/>
      <c r="NUV90" s="225"/>
      <c r="NUW90" s="220"/>
      <c r="NUX90" s="221"/>
      <c r="NUY90" s="222"/>
      <c r="NUZ90" s="222"/>
      <c r="NVA90" s="223"/>
      <c r="NVB90" s="223"/>
      <c r="NVC90" s="224"/>
      <c r="NVD90" s="223"/>
      <c r="NVE90" s="223"/>
      <c r="NVF90" s="223"/>
      <c r="NVG90" s="223"/>
      <c r="NVH90" s="225"/>
      <c r="NVI90" s="220"/>
      <c r="NVJ90" s="221"/>
      <c r="NVK90" s="222"/>
      <c r="NVL90" s="222"/>
      <c r="NVM90" s="223"/>
      <c r="NVN90" s="223"/>
      <c r="NVO90" s="224"/>
      <c r="NVP90" s="223"/>
      <c r="NVQ90" s="223"/>
      <c r="NVR90" s="223"/>
      <c r="NVS90" s="223"/>
      <c r="NVT90" s="225"/>
      <c r="NVU90" s="220"/>
      <c r="NVV90" s="221"/>
      <c r="NVW90" s="222"/>
      <c r="NVX90" s="222"/>
      <c r="NVY90" s="223"/>
      <c r="NVZ90" s="223"/>
      <c r="NWA90" s="224"/>
      <c r="NWB90" s="223"/>
      <c r="NWC90" s="223"/>
      <c r="NWD90" s="223"/>
      <c r="NWE90" s="223"/>
      <c r="NWF90" s="225"/>
      <c r="NWG90" s="220"/>
      <c r="NWH90" s="221"/>
      <c r="NWI90" s="222"/>
      <c r="NWJ90" s="222"/>
      <c r="NWK90" s="223"/>
      <c r="NWL90" s="223"/>
      <c r="NWM90" s="224"/>
      <c r="NWN90" s="223"/>
      <c r="NWO90" s="223"/>
      <c r="NWP90" s="223"/>
      <c r="NWQ90" s="223"/>
      <c r="NWR90" s="225"/>
      <c r="NWS90" s="220"/>
      <c r="NWT90" s="221"/>
      <c r="NWU90" s="222"/>
      <c r="NWV90" s="222"/>
      <c r="NWW90" s="223"/>
      <c r="NWX90" s="223"/>
      <c r="NWY90" s="224"/>
      <c r="NWZ90" s="223"/>
      <c r="NXA90" s="223"/>
      <c r="NXB90" s="223"/>
      <c r="NXC90" s="223"/>
      <c r="NXD90" s="225"/>
      <c r="NXE90" s="220"/>
      <c r="NXF90" s="221"/>
      <c r="NXG90" s="222"/>
      <c r="NXH90" s="222"/>
      <c r="NXI90" s="223"/>
      <c r="NXJ90" s="223"/>
      <c r="NXK90" s="224"/>
      <c r="NXL90" s="223"/>
      <c r="NXM90" s="223"/>
      <c r="NXN90" s="223"/>
      <c r="NXO90" s="223"/>
      <c r="NXP90" s="225"/>
      <c r="NXQ90" s="220"/>
      <c r="NXR90" s="221"/>
      <c r="NXS90" s="222"/>
      <c r="NXT90" s="222"/>
      <c r="NXU90" s="223"/>
      <c r="NXV90" s="223"/>
      <c r="NXW90" s="224"/>
      <c r="NXX90" s="223"/>
      <c r="NXY90" s="223"/>
      <c r="NXZ90" s="223"/>
      <c r="NYA90" s="223"/>
      <c r="NYB90" s="225"/>
      <c r="NYC90" s="220"/>
      <c r="NYD90" s="221"/>
      <c r="NYE90" s="222"/>
      <c r="NYF90" s="222"/>
      <c r="NYG90" s="223"/>
      <c r="NYH90" s="223"/>
      <c r="NYI90" s="224"/>
      <c r="NYJ90" s="223"/>
      <c r="NYK90" s="223"/>
      <c r="NYL90" s="223"/>
      <c r="NYM90" s="223"/>
      <c r="NYN90" s="225"/>
      <c r="NYO90" s="220"/>
      <c r="NYP90" s="221"/>
      <c r="NYQ90" s="222"/>
      <c r="NYR90" s="222"/>
      <c r="NYS90" s="223"/>
      <c r="NYT90" s="223"/>
      <c r="NYU90" s="224"/>
      <c r="NYV90" s="223"/>
      <c r="NYW90" s="223"/>
      <c r="NYX90" s="223"/>
      <c r="NYY90" s="223"/>
      <c r="NYZ90" s="225"/>
      <c r="NZA90" s="220"/>
      <c r="NZB90" s="221"/>
      <c r="NZC90" s="222"/>
      <c r="NZD90" s="222"/>
      <c r="NZE90" s="223"/>
      <c r="NZF90" s="223"/>
      <c r="NZG90" s="224"/>
      <c r="NZH90" s="223"/>
      <c r="NZI90" s="223"/>
      <c r="NZJ90" s="223"/>
      <c r="NZK90" s="223"/>
      <c r="NZL90" s="225"/>
      <c r="NZM90" s="220"/>
      <c r="NZN90" s="221"/>
      <c r="NZO90" s="222"/>
      <c r="NZP90" s="222"/>
      <c r="NZQ90" s="223"/>
      <c r="NZR90" s="223"/>
      <c r="NZS90" s="224"/>
      <c r="NZT90" s="223"/>
      <c r="NZU90" s="223"/>
      <c r="NZV90" s="223"/>
      <c r="NZW90" s="223"/>
      <c r="NZX90" s="225"/>
      <c r="NZY90" s="220"/>
      <c r="NZZ90" s="221"/>
      <c r="OAA90" s="222"/>
      <c r="OAB90" s="222"/>
      <c r="OAC90" s="223"/>
      <c r="OAD90" s="223"/>
      <c r="OAE90" s="224"/>
      <c r="OAF90" s="223"/>
      <c r="OAG90" s="223"/>
      <c r="OAH90" s="223"/>
      <c r="OAI90" s="223"/>
      <c r="OAJ90" s="225"/>
      <c r="OAK90" s="220"/>
      <c r="OAL90" s="221"/>
      <c r="OAM90" s="222"/>
      <c r="OAN90" s="222"/>
      <c r="OAO90" s="223"/>
      <c r="OAP90" s="223"/>
      <c r="OAQ90" s="224"/>
      <c r="OAR90" s="223"/>
      <c r="OAS90" s="223"/>
      <c r="OAT90" s="223"/>
      <c r="OAU90" s="223"/>
      <c r="OAV90" s="225"/>
      <c r="OAW90" s="220"/>
      <c r="OAX90" s="221"/>
      <c r="OAY90" s="222"/>
      <c r="OAZ90" s="222"/>
      <c r="OBA90" s="223"/>
      <c r="OBB90" s="223"/>
      <c r="OBC90" s="224"/>
      <c r="OBD90" s="223"/>
      <c r="OBE90" s="223"/>
      <c r="OBF90" s="223"/>
      <c r="OBG90" s="223"/>
      <c r="OBH90" s="225"/>
      <c r="OBI90" s="220"/>
      <c r="OBJ90" s="221"/>
      <c r="OBK90" s="222"/>
      <c r="OBL90" s="222"/>
      <c r="OBM90" s="223"/>
      <c r="OBN90" s="223"/>
      <c r="OBO90" s="224"/>
      <c r="OBP90" s="223"/>
      <c r="OBQ90" s="223"/>
      <c r="OBR90" s="223"/>
      <c r="OBS90" s="223"/>
      <c r="OBT90" s="225"/>
      <c r="OBU90" s="220"/>
      <c r="OBV90" s="221"/>
      <c r="OBW90" s="222"/>
      <c r="OBX90" s="222"/>
      <c r="OBY90" s="223"/>
      <c r="OBZ90" s="223"/>
      <c r="OCA90" s="224"/>
      <c r="OCB90" s="223"/>
      <c r="OCC90" s="223"/>
      <c r="OCD90" s="223"/>
      <c r="OCE90" s="223"/>
      <c r="OCF90" s="225"/>
      <c r="OCG90" s="220"/>
      <c r="OCH90" s="221"/>
      <c r="OCI90" s="222"/>
      <c r="OCJ90" s="222"/>
      <c r="OCK90" s="223"/>
      <c r="OCL90" s="223"/>
      <c r="OCM90" s="224"/>
      <c r="OCN90" s="223"/>
      <c r="OCO90" s="223"/>
      <c r="OCP90" s="223"/>
      <c r="OCQ90" s="223"/>
      <c r="OCR90" s="225"/>
      <c r="OCS90" s="220"/>
      <c r="OCT90" s="221"/>
      <c r="OCU90" s="222"/>
      <c r="OCV90" s="222"/>
      <c r="OCW90" s="223"/>
      <c r="OCX90" s="223"/>
      <c r="OCY90" s="224"/>
      <c r="OCZ90" s="223"/>
      <c r="ODA90" s="223"/>
      <c r="ODB90" s="223"/>
      <c r="ODC90" s="223"/>
      <c r="ODD90" s="225"/>
      <c r="ODE90" s="220"/>
      <c r="ODF90" s="221"/>
      <c r="ODG90" s="222"/>
      <c r="ODH90" s="222"/>
      <c r="ODI90" s="223"/>
      <c r="ODJ90" s="223"/>
      <c r="ODK90" s="224"/>
      <c r="ODL90" s="223"/>
      <c r="ODM90" s="223"/>
      <c r="ODN90" s="223"/>
      <c r="ODO90" s="223"/>
      <c r="ODP90" s="225"/>
      <c r="ODQ90" s="220"/>
      <c r="ODR90" s="221"/>
      <c r="ODS90" s="222"/>
      <c r="ODT90" s="222"/>
      <c r="ODU90" s="223"/>
      <c r="ODV90" s="223"/>
      <c r="ODW90" s="224"/>
      <c r="ODX90" s="223"/>
      <c r="ODY90" s="223"/>
      <c r="ODZ90" s="223"/>
      <c r="OEA90" s="223"/>
      <c r="OEB90" s="225"/>
      <c r="OEC90" s="220"/>
      <c r="OED90" s="221"/>
      <c r="OEE90" s="222"/>
      <c r="OEF90" s="222"/>
      <c r="OEG90" s="223"/>
      <c r="OEH90" s="223"/>
      <c r="OEI90" s="224"/>
      <c r="OEJ90" s="223"/>
      <c r="OEK90" s="223"/>
      <c r="OEL90" s="223"/>
      <c r="OEM90" s="223"/>
      <c r="OEN90" s="225"/>
      <c r="OEO90" s="220"/>
      <c r="OEP90" s="221"/>
      <c r="OEQ90" s="222"/>
      <c r="OER90" s="222"/>
      <c r="OES90" s="223"/>
      <c r="OET90" s="223"/>
      <c r="OEU90" s="224"/>
      <c r="OEV90" s="223"/>
      <c r="OEW90" s="223"/>
      <c r="OEX90" s="223"/>
      <c r="OEY90" s="223"/>
      <c r="OEZ90" s="225"/>
      <c r="OFA90" s="220"/>
      <c r="OFB90" s="221"/>
      <c r="OFC90" s="222"/>
      <c r="OFD90" s="222"/>
      <c r="OFE90" s="223"/>
      <c r="OFF90" s="223"/>
      <c r="OFG90" s="224"/>
      <c r="OFH90" s="223"/>
      <c r="OFI90" s="223"/>
      <c r="OFJ90" s="223"/>
      <c r="OFK90" s="223"/>
      <c r="OFL90" s="225"/>
      <c r="OFM90" s="220"/>
      <c r="OFN90" s="221"/>
      <c r="OFO90" s="222"/>
      <c r="OFP90" s="222"/>
      <c r="OFQ90" s="223"/>
      <c r="OFR90" s="223"/>
      <c r="OFS90" s="224"/>
      <c r="OFT90" s="223"/>
      <c r="OFU90" s="223"/>
      <c r="OFV90" s="223"/>
      <c r="OFW90" s="223"/>
      <c r="OFX90" s="225"/>
      <c r="OFY90" s="220"/>
      <c r="OFZ90" s="221"/>
      <c r="OGA90" s="222"/>
      <c r="OGB90" s="222"/>
      <c r="OGC90" s="223"/>
      <c r="OGD90" s="223"/>
      <c r="OGE90" s="224"/>
      <c r="OGF90" s="223"/>
      <c r="OGG90" s="223"/>
      <c r="OGH90" s="223"/>
      <c r="OGI90" s="223"/>
      <c r="OGJ90" s="225"/>
      <c r="OGK90" s="220"/>
      <c r="OGL90" s="221"/>
      <c r="OGM90" s="222"/>
      <c r="OGN90" s="222"/>
      <c r="OGO90" s="223"/>
      <c r="OGP90" s="223"/>
      <c r="OGQ90" s="224"/>
      <c r="OGR90" s="223"/>
      <c r="OGS90" s="223"/>
      <c r="OGT90" s="223"/>
      <c r="OGU90" s="223"/>
      <c r="OGV90" s="225"/>
      <c r="OGW90" s="220"/>
      <c r="OGX90" s="221"/>
      <c r="OGY90" s="222"/>
      <c r="OGZ90" s="222"/>
      <c r="OHA90" s="223"/>
      <c r="OHB90" s="223"/>
      <c r="OHC90" s="224"/>
      <c r="OHD90" s="223"/>
      <c r="OHE90" s="223"/>
      <c r="OHF90" s="223"/>
      <c r="OHG90" s="223"/>
      <c r="OHH90" s="225"/>
      <c r="OHI90" s="220"/>
      <c r="OHJ90" s="221"/>
      <c r="OHK90" s="222"/>
      <c r="OHL90" s="222"/>
      <c r="OHM90" s="223"/>
      <c r="OHN90" s="223"/>
      <c r="OHO90" s="224"/>
      <c r="OHP90" s="223"/>
      <c r="OHQ90" s="223"/>
      <c r="OHR90" s="223"/>
      <c r="OHS90" s="223"/>
      <c r="OHT90" s="225"/>
      <c r="OHU90" s="220"/>
      <c r="OHV90" s="221"/>
      <c r="OHW90" s="222"/>
      <c r="OHX90" s="222"/>
      <c r="OHY90" s="223"/>
      <c r="OHZ90" s="223"/>
      <c r="OIA90" s="224"/>
      <c r="OIB90" s="223"/>
      <c r="OIC90" s="223"/>
      <c r="OID90" s="223"/>
      <c r="OIE90" s="223"/>
      <c r="OIF90" s="225"/>
      <c r="OIG90" s="220"/>
      <c r="OIH90" s="221"/>
      <c r="OII90" s="222"/>
      <c r="OIJ90" s="222"/>
      <c r="OIK90" s="223"/>
      <c r="OIL90" s="223"/>
      <c r="OIM90" s="224"/>
      <c r="OIN90" s="223"/>
      <c r="OIO90" s="223"/>
      <c r="OIP90" s="223"/>
      <c r="OIQ90" s="223"/>
      <c r="OIR90" s="225"/>
      <c r="OIS90" s="220"/>
      <c r="OIT90" s="221"/>
      <c r="OIU90" s="222"/>
      <c r="OIV90" s="222"/>
      <c r="OIW90" s="223"/>
      <c r="OIX90" s="223"/>
      <c r="OIY90" s="224"/>
      <c r="OIZ90" s="223"/>
      <c r="OJA90" s="223"/>
      <c r="OJB90" s="223"/>
      <c r="OJC90" s="223"/>
      <c r="OJD90" s="225"/>
      <c r="OJE90" s="220"/>
      <c r="OJF90" s="221"/>
      <c r="OJG90" s="222"/>
      <c r="OJH90" s="222"/>
      <c r="OJI90" s="223"/>
      <c r="OJJ90" s="223"/>
      <c r="OJK90" s="224"/>
      <c r="OJL90" s="223"/>
      <c r="OJM90" s="223"/>
      <c r="OJN90" s="223"/>
      <c r="OJO90" s="223"/>
      <c r="OJP90" s="225"/>
      <c r="OJQ90" s="220"/>
      <c r="OJR90" s="221"/>
      <c r="OJS90" s="222"/>
      <c r="OJT90" s="222"/>
      <c r="OJU90" s="223"/>
      <c r="OJV90" s="223"/>
      <c r="OJW90" s="224"/>
      <c r="OJX90" s="223"/>
      <c r="OJY90" s="223"/>
      <c r="OJZ90" s="223"/>
      <c r="OKA90" s="223"/>
      <c r="OKB90" s="225"/>
      <c r="OKC90" s="220"/>
      <c r="OKD90" s="221"/>
      <c r="OKE90" s="222"/>
      <c r="OKF90" s="222"/>
      <c r="OKG90" s="223"/>
      <c r="OKH90" s="223"/>
      <c r="OKI90" s="224"/>
      <c r="OKJ90" s="223"/>
      <c r="OKK90" s="223"/>
      <c r="OKL90" s="223"/>
      <c r="OKM90" s="223"/>
      <c r="OKN90" s="225"/>
      <c r="OKO90" s="220"/>
      <c r="OKP90" s="221"/>
      <c r="OKQ90" s="222"/>
      <c r="OKR90" s="222"/>
      <c r="OKS90" s="223"/>
      <c r="OKT90" s="223"/>
      <c r="OKU90" s="224"/>
      <c r="OKV90" s="223"/>
      <c r="OKW90" s="223"/>
      <c r="OKX90" s="223"/>
      <c r="OKY90" s="223"/>
      <c r="OKZ90" s="225"/>
      <c r="OLA90" s="220"/>
      <c r="OLB90" s="221"/>
      <c r="OLC90" s="222"/>
      <c r="OLD90" s="222"/>
      <c r="OLE90" s="223"/>
      <c r="OLF90" s="223"/>
      <c r="OLG90" s="224"/>
      <c r="OLH90" s="223"/>
      <c r="OLI90" s="223"/>
      <c r="OLJ90" s="223"/>
      <c r="OLK90" s="223"/>
      <c r="OLL90" s="225"/>
      <c r="OLM90" s="220"/>
      <c r="OLN90" s="221"/>
      <c r="OLO90" s="222"/>
      <c r="OLP90" s="222"/>
      <c r="OLQ90" s="223"/>
      <c r="OLR90" s="223"/>
      <c r="OLS90" s="224"/>
      <c r="OLT90" s="223"/>
      <c r="OLU90" s="223"/>
      <c r="OLV90" s="223"/>
      <c r="OLW90" s="223"/>
      <c r="OLX90" s="225"/>
      <c r="OLY90" s="220"/>
      <c r="OLZ90" s="221"/>
      <c r="OMA90" s="222"/>
      <c r="OMB90" s="222"/>
      <c r="OMC90" s="223"/>
      <c r="OMD90" s="223"/>
      <c r="OME90" s="224"/>
      <c r="OMF90" s="223"/>
      <c r="OMG90" s="223"/>
      <c r="OMH90" s="223"/>
      <c r="OMI90" s="223"/>
      <c r="OMJ90" s="225"/>
      <c r="OMK90" s="220"/>
      <c r="OML90" s="221"/>
      <c r="OMM90" s="222"/>
      <c r="OMN90" s="222"/>
      <c r="OMO90" s="223"/>
      <c r="OMP90" s="223"/>
      <c r="OMQ90" s="224"/>
      <c r="OMR90" s="223"/>
      <c r="OMS90" s="223"/>
      <c r="OMT90" s="223"/>
      <c r="OMU90" s="223"/>
      <c r="OMV90" s="225"/>
      <c r="OMW90" s="220"/>
      <c r="OMX90" s="221"/>
      <c r="OMY90" s="222"/>
      <c r="OMZ90" s="222"/>
      <c r="ONA90" s="223"/>
      <c r="ONB90" s="223"/>
      <c r="ONC90" s="224"/>
      <c r="OND90" s="223"/>
      <c r="ONE90" s="223"/>
      <c r="ONF90" s="223"/>
      <c r="ONG90" s="223"/>
      <c r="ONH90" s="225"/>
      <c r="ONI90" s="220"/>
      <c r="ONJ90" s="221"/>
      <c r="ONK90" s="222"/>
      <c r="ONL90" s="222"/>
      <c r="ONM90" s="223"/>
      <c r="ONN90" s="223"/>
      <c r="ONO90" s="224"/>
      <c r="ONP90" s="223"/>
      <c r="ONQ90" s="223"/>
      <c r="ONR90" s="223"/>
      <c r="ONS90" s="223"/>
      <c r="ONT90" s="225"/>
      <c r="ONU90" s="220"/>
      <c r="ONV90" s="221"/>
      <c r="ONW90" s="222"/>
      <c r="ONX90" s="222"/>
      <c r="ONY90" s="223"/>
      <c r="ONZ90" s="223"/>
      <c r="OOA90" s="224"/>
      <c r="OOB90" s="223"/>
      <c r="OOC90" s="223"/>
      <c r="OOD90" s="223"/>
      <c r="OOE90" s="223"/>
      <c r="OOF90" s="225"/>
      <c r="OOG90" s="220"/>
      <c r="OOH90" s="221"/>
      <c r="OOI90" s="222"/>
      <c r="OOJ90" s="222"/>
      <c r="OOK90" s="223"/>
      <c r="OOL90" s="223"/>
      <c r="OOM90" s="224"/>
      <c r="OON90" s="223"/>
      <c r="OOO90" s="223"/>
      <c r="OOP90" s="223"/>
      <c r="OOQ90" s="223"/>
      <c r="OOR90" s="225"/>
      <c r="OOS90" s="220"/>
      <c r="OOT90" s="221"/>
      <c r="OOU90" s="222"/>
      <c r="OOV90" s="222"/>
      <c r="OOW90" s="223"/>
      <c r="OOX90" s="223"/>
      <c r="OOY90" s="224"/>
      <c r="OOZ90" s="223"/>
      <c r="OPA90" s="223"/>
      <c r="OPB90" s="223"/>
      <c r="OPC90" s="223"/>
      <c r="OPD90" s="225"/>
      <c r="OPE90" s="220"/>
      <c r="OPF90" s="221"/>
      <c r="OPG90" s="222"/>
      <c r="OPH90" s="222"/>
      <c r="OPI90" s="223"/>
      <c r="OPJ90" s="223"/>
      <c r="OPK90" s="224"/>
      <c r="OPL90" s="223"/>
      <c r="OPM90" s="223"/>
      <c r="OPN90" s="223"/>
      <c r="OPO90" s="223"/>
      <c r="OPP90" s="225"/>
      <c r="OPQ90" s="220"/>
      <c r="OPR90" s="221"/>
      <c r="OPS90" s="222"/>
      <c r="OPT90" s="222"/>
      <c r="OPU90" s="223"/>
      <c r="OPV90" s="223"/>
      <c r="OPW90" s="224"/>
      <c r="OPX90" s="223"/>
      <c r="OPY90" s="223"/>
      <c r="OPZ90" s="223"/>
      <c r="OQA90" s="223"/>
      <c r="OQB90" s="225"/>
      <c r="OQC90" s="220"/>
      <c r="OQD90" s="221"/>
      <c r="OQE90" s="222"/>
      <c r="OQF90" s="222"/>
      <c r="OQG90" s="223"/>
      <c r="OQH90" s="223"/>
      <c r="OQI90" s="224"/>
      <c r="OQJ90" s="223"/>
      <c r="OQK90" s="223"/>
      <c r="OQL90" s="223"/>
      <c r="OQM90" s="223"/>
      <c r="OQN90" s="225"/>
      <c r="OQO90" s="220"/>
      <c r="OQP90" s="221"/>
      <c r="OQQ90" s="222"/>
      <c r="OQR90" s="222"/>
      <c r="OQS90" s="223"/>
      <c r="OQT90" s="223"/>
      <c r="OQU90" s="224"/>
      <c r="OQV90" s="223"/>
      <c r="OQW90" s="223"/>
      <c r="OQX90" s="223"/>
      <c r="OQY90" s="223"/>
      <c r="OQZ90" s="225"/>
      <c r="ORA90" s="220"/>
      <c r="ORB90" s="221"/>
      <c r="ORC90" s="222"/>
      <c r="ORD90" s="222"/>
      <c r="ORE90" s="223"/>
      <c r="ORF90" s="223"/>
      <c r="ORG90" s="224"/>
      <c r="ORH90" s="223"/>
      <c r="ORI90" s="223"/>
      <c r="ORJ90" s="223"/>
      <c r="ORK90" s="223"/>
      <c r="ORL90" s="225"/>
      <c r="ORM90" s="220"/>
      <c r="ORN90" s="221"/>
      <c r="ORO90" s="222"/>
      <c r="ORP90" s="222"/>
      <c r="ORQ90" s="223"/>
      <c r="ORR90" s="223"/>
      <c r="ORS90" s="224"/>
      <c r="ORT90" s="223"/>
      <c r="ORU90" s="223"/>
      <c r="ORV90" s="223"/>
      <c r="ORW90" s="223"/>
      <c r="ORX90" s="225"/>
      <c r="ORY90" s="220"/>
      <c r="ORZ90" s="221"/>
      <c r="OSA90" s="222"/>
      <c r="OSB90" s="222"/>
      <c r="OSC90" s="223"/>
      <c r="OSD90" s="223"/>
      <c r="OSE90" s="224"/>
      <c r="OSF90" s="223"/>
      <c r="OSG90" s="223"/>
      <c r="OSH90" s="223"/>
      <c r="OSI90" s="223"/>
      <c r="OSJ90" s="225"/>
      <c r="OSK90" s="220"/>
      <c r="OSL90" s="221"/>
      <c r="OSM90" s="222"/>
      <c r="OSN90" s="222"/>
      <c r="OSO90" s="223"/>
      <c r="OSP90" s="223"/>
      <c r="OSQ90" s="224"/>
      <c r="OSR90" s="223"/>
      <c r="OSS90" s="223"/>
      <c r="OST90" s="223"/>
      <c r="OSU90" s="223"/>
      <c r="OSV90" s="225"/>
      <c r="OSW90" s="220"/>
      <c r="OSX90" s="221"/>
      <c r="OSY90" s="222"/>
      <c r="OSZ90" s="222"/>
      <c r="OTA90" s="223"/>
      <c r="OTB90" s="223"/>
      <c r="OTC90" s="224"/>
      <c r="OTD90" s="223"/>
      <c r="OTE90" s="223"/>
      <c r="OTF90" s="223"/>
      <c r="OTG90" s="223"/>
      <c r="OTH90" s="225"/>
      <c r="OTI90" s="220"/>
      <c r="OTJ90" s="221"/>
      <c r="OTK90" s="222"/>
      <c r="OTL90" s="222"/>
      <c r="OTM90" s="223"/>
      <c r="OTN90" s="223"/>
      <c r="OTO90" s="224"/>
      <c r="OTP90" s="223"/>
      <c r="OTQ90" s="223"/>
      <c r="OTR90" s="223"/>
      <c r="OTS90" s="223"/>
      <c r="OTT90" s="225"/>
      <c r="OTU90" s="220"/>
      <c r="OTV90" s="221"/>
      <c r="OTW90" s="222"/>
      <c r="OTX90" s="222"/>
      <c r="OTY90" s="223"/>
      <c r="OTZ90" s="223"/>
      <c r="OUA90" s="224"/>
      <c r="OUB90" s="223"/>
      <c r="OUC90" s="223"/>
      <c r="OUD90" s="223"/>
      <c r="OUE90" s="223"/>
      <c r="OUF90" s="225"/>
      <c r="OUG90" s="220"/>
      <c r="OUH90" s="221"/>
      <c r="OUI90" s="222"/>
      <c r="OUJ90" s="222"/>
      <c r="OUK90" s="223"/>
      <c r="OUL90" s="223"/>
      <c r="OUM90" s="224"/>
      <c r="OUN90" s="223"/>
      <c r="OUO90" s="223"/>
      <c r="OUP90" s="223"/>
      <c r="OUQ90" s="223"/>
      <c r="OUR90" s="225"/>
      <c r="OUS90" s="220"/>
      <c r="OUT90" s="221"/>
      <c r="OUU90" s="222"/>
      <c r="OUV90" s="222"/>
      <c r="OUW90" s="223"/>
      <c r="OUX90" s="223"/>
      <c r="OUY90" s="224"/>
      <c r="OUZ90" s="223"/>
      <c r="OVA90" s="223"/>
      <c r="OVB90" s="223"/>
      <c r="OVC90" s="223"/>
      <c r="OVD90" s="225"/>
      <c r="OVE90" s="220"/>
      <c r="OVF90" s="221"/>
      <c r="OVG90" s="222"/>
      <c r="OVH90" s="222"/>
      <c r="OVI90" s="223"/>
      <c r="OVJ90" s="223"/>
      <c r="OVK90" s="224"/>
      <c r="OVL90" s="223"/>
      <c r="OVM90" s="223"/>
      <c r="OVN90" s="223"/>
      <c r="OVO90" s="223"/>
      <c r="OVP90" s="225"/>
      <c r="OVQ90" s="220"/>
      <c r="OVR90" s="221"/>
      <c r="OVS90" s="222"/>
      <c r="OVT90" s="222"/>
      <c r="OVU90" s="223"/>
      <c r="OVV90" s="223"/>
      <c r="OVW90" s="224"/>
      <c r="OVX90" s="223"/>
      <c r="OVY90" s="223"/>
      <c r="OVZ90" s="223"/>
      <c r="OWA90" s="223"/>
      <c r="OWB90" s="225"/>
      <c r="OWC90" s="220"/>
      <c r="OWD90" s="221"/>
      <c r="OWE90" s="222"/>
      <c r="OWF90" s="222"/>
      <c r="OWG90" s="223"/>
      <c r="OWH90" s="223"/>
      <c r="OWI90" s="224"/>
      <c r="OWJ90" s="223"/>
      <c r="OWK90" s="223"/>
      <c r="OWL90" s="223"/>
      <c r="OWM90" s="223"/>
      <c r="OWN90" s="225"/>
      <c r="OWO90" s="220"/>
      <c r="OWP90" s="221"/>
      <c r="OWQ90" s="222"/>
      <c r="OWR90" s="222"/>
      <c r="OWS90" s="223"/>
      <c r="OWT90" s="223"/>
      <c r="OWU90" s="224"/>
      <c r="OWV90" s="223"/>
      <c r="OWW90" s="223"/>
      <c r="OWX90" s="223"/>
      <c r="OWY90" s="223"/>
      <c r="OWZ90" s="225"/>
      <c r="OXA90" s="220"/>
      <c r="OXB90" s="221"/>
      <c r="OXC90" s="222"/>
      <c r="OXD90" s="222"/>
      <c r="OXE90" s="223"/>
      <c r="OXF90" s="223"/>
      <c r="OXG90" s="224"/>
      <c r="OXH90" s="223"/>
      <c r="OXI90" s="223"/>
      <c r="OXJ90" s="223"/>
      <c r="OXK90" s="223"/>
      <c r="OXL90" s="225"/>
      <c r="OXM90" s="220"/>
      <c r="OXN90" s="221"/>
      <c r="OXO90" s="222"/>
      <c r="OXP90" s="222"/>
      <c r="OXQ90" s="223"/>
      <c r="OXR90" s="223"/>
      <c r="OXS90" s="224"/>
      <c r="OXT90" s="223"/>
      <c r="OXU90" s="223"/>
      <c r="OXV90" s="223"/>
      <c r="OXW90" s="223"/>
      <c r="OXX90" s="225"/>
      <c r="OXY90" s="220"/>
      <c r="OXZ90" s="221"/>
      <c r="OYA90" s="222"/>
      <c r="OYB90" s="222"/>
      <c r="OYC90" s="223"/>
      <c r="OYD90" s="223"/>
      <c r="OYE90" s="224"/>
      <c r="OYF90" s="223"/>
      <c r="OYG90" s="223"/>
      <c r="OYH90" s="223"/>
      <c r="OYI90" s="223"/>
      <c r="OYJ90" s="225"/>
      <c r="OYK90" s="220"/>
      <c r="OYL90" s="221"/>
      <c r="OYM90" s="222"/>
      <c r="OYN90" s="222"/>
      <c r="OYO90" s="223"/>
      <c r="OYP90" s="223"/>
      <c r="OYQ90" s="224"/>
      <c r="OYR90" s="223"/>
      <c r="OYS90" s="223"/>
      <c r="OYT90" s="223"/>
      <c r="OYU90" s="223"/>
      <c r="OYV90" s="225"/>
      <c r="OYW90" s="220"/>
      <c r="OYX90" s="221"/>
      <c r="OYY90" s="222"/>
      <c r="OYZ90" s="222"/>
      <c r="OZA90" s="223"/>
      <c r="OZB90" s="223"/>
      <c r="OZC90" s="224"/>
      <c r="OZD90" s="223"/>
      <c r="OZE90" s="223"/>
      <c r="OZF90" s="223"/>
      <c r="OZG90" s="223"/>
      <c r="OZH90" s="225"/>
      <c r="OZI90" s="220"/>
      <c r="OZJ90" s="221"/>
      <c r="OZK90" s="222"/>
      <c r="OZL90" s="222"/>
      <c r="OZM90" s="223"/>
      <c r="OZN90" s="223"/>
      <c r="OZO90" s="224"/>
      <c r="OZP90" s="223"/>
      <c r="OZQ90" s="223"/>
      <c r="OZR90" s="223"/>
      <c r="OZS90" s="223"/>
      <c r="OZT90" s="225"/>
      <c r="OZU90" s="220"/>
      <c r="OZV90" s="221"/>
      <c r="OZW90" s="222"/>
      <c r="OZX90" s="222"/>
      <c r="OZY90" s="223"/>
      <c r="OZZ90" s="223"/>
      <c r="PAA90" s="224"/>
      <c r="PAB90" s="223"/>
      <c r="PAC90" s="223"/>
      <c r="PAD90" s="223"/>
      <c r="PAE90" s="223"/>
      <c r="PAF90" s="225"/>
      <c r="PAG90" s="220"/>
      <c r="PAH90" s="221"/>
      <c r="PAI90" s="222"/>
      <c r="PAJ90" s="222"/>
      <c r="PAK90" s="223"/>
      <c r="PAL90" s="223"/>
      <c r="PAM90" s="224"/>
      <c r="PAN90" s="223"/>
      <c r="PAO90" s="223"/>
      <c r="PAP90" s="223"/>
      <c r="PAQ90" s="223"/>
      <c r="PAR90" s="225"/>
      <c r="PAS90" s="220"/>
      <c r="PAT90" s="221"/>
      <c r="PAU90" s="222"/>
      <c r="PAV90" s="222"/>
      <c r="PAW90" s="223"/>
      <c r="PAX90" s="223"/>
      <c r="PAY90" s="224"/>
      <c r="PAZ90" s="223"/>
      <c r="PBA90" s="223"/>
      <c r="PBB90" s="223"/>
      <c r="PBC90" s="223"/>
      <c r="PBD90" s="225"/>
      <c r="PBE90" s="220"/>
      <c r="PBF90" s="221"/>
      <c r="PBG90" s="222"/>
      <c r="PBH90" s="222"/>
      <c r="PBI90" s="223"/>
      <c r="PBJ90" s="223"/>
      <c r="PBK90" s="224"/>
      <c r="PBL90" s="223"/>
      <c r="PBM90" s="223"/>
      <c r="PBN90" s="223"/>
      <c r="PBO90" s="223"/>
      <c r="PBP90" s="225"/>
      <c r="PBQ90" s="220"/>
      <c r="PBR90" s="221"/>
      <c r="PBS90" s="222"/>
      <c r="PBT90" s="222"/>
      <c r="PBU90" s="223"/>
      <c r="PBV90" s="223"/>
      <c r="PBW90" s="224"/>
      <c r="PBX90" s="223"/>
      <c r="PBY90" s="223"/>
      <c r="PBZ90" s="223"/>
      <c r="PCA90" s="223"/>
      <c r="PCB90" s="225"/>
      <c r="PCC90" s="220"/>
      <c r="PCD90" s="221"/>
      <c r="PCE90" s="222"/>
      <c r="PCF90" s="222"/>
      <c r="PCG90" s="223"/>
      <c r="PCH90" s="223"/>
      <c r="PCI90" s="224"/>
      <c r="PCJ90" s="223"/>
      <c r="PCK90" s="223"/>
      <c r="PCL90" s="223"/>
      <c r="PCM90" s="223"/>
      <c r="PCN90" s="225"/>
      <c r="PCO90" s="220"/>
      <c r="PCP90" s="221"/>
      <c r="PCQ90" s="222"/>
      <c r="PCR90" s="222"/>
      <c r="PCS90" s="223"/>
      <c r="PCT90" s="223"/>
      <c r="PCU90" s="224"/>
      <c r="PCV90" s="223"/>
      <c r="PCW90" s="223"/>
      <c r="PCX90" s="223"/>
      <c r="PCY90" s="223"/>
      <c r="PCZ90" s="225"/>
      <c r="PDA90" s="220"/>
      <c r="PDB90" s="221"/>
      <c r="PDC90" s="222"/>
      <c r="PDD90" s="222"/>
      <c r="PDE90" s="223"/>
      <c r="PDF90" s="223"/>
      <c r="PDG90" s="224"/>
      <c r="PDH90" s="223"/>
      <c r="PDI90" s="223"/>
      <c r="PDJ90" s="223"/>
      <c r="PDK90" s="223"/>
      <c r="PDL90" s="225"/>
      <c r="PDM90" s="220"/>
      <c r="PDN90" s="221"/>
      <c r="PDO90" s="222"/>
      <c r="PDP90" s="222"/>
      <c r="PDQ90" s="223"/>
      <c r="PDR90" s="223"/>
      <c r="PDS90" s="224"/>
      <c r="PDT90" s="223"/>
      <c r="PDU90" s="223"/>
      <c r="PDV90" s="223"/>
      <c r="PDW90" s="223"/>
      <c r="PDX90" s="225"/>
      <c r="PDY90" s="220"/>
      <c r="PDZ90" s="221"/>
      <c r="PEA90" s="222"/>
      <c r="PEB90" s="222"/>
      <c r="PEC90" s="223"/>
      <c r="PED90" s="223"/>
      <c r="PEE90" s="224"/>
      <c r="PEF90" s="223"/>
      <c r="PEG90" s="223"/>
      <c r="PEH90" s="223"/>
      <c r="PEI90" s="223"/>
      <c r="PEJ90" s="225"/>
      <c r="PEK90" s="220"/>
      <c r="PEL90" s="221"/>
      <c r="PEM90" s="222"/>
      <c r="PEN90" s="222"/>
      <c r="PEO90" s="223"/>
      <c r="PEP90" s="223"/>
      <c r="PEQ90" s="224"/>
      <c r="PER90" s="223"/>
      <c r="PES90" s="223"/>
      <c r="PET90" s="223"/>
      <c r="PEU90" s="223"/>
      <c r="PEV90" s="225"/>
      <c r="PEW90" s="220"/>
      <c r="PEX90" s="221"/>
      <c r="PEY90" s="222"/>
      <c r="PEZ90" s="222"/>
      <c r="PFA90" s="223"/>
      <c r="PFB90" s="223"/>
      <c r="PFC90" s="224"/>
      <c r="PFD90" s="223"/>
      <c r="PFE90" s="223"/>
      <c r="PFF90" s="223"/>
      <c r="PFG90" s="223"/>
      <c r="PFH90" s="225"/>
      <c r="PFI90" s="220"/>
      <c r="PFJ90" s="221"/>
      <c r="PFK90" s="222"/>
      <c r="PFL90" s="222"/>
      <c r="PFM90" s="223"/>
      <c r="PFN90" s="223"/>
      <c r="PFO90" s="224"/>
      <c r="PFP90" s="223"/>
      <c r="PFQ90" s="223"/>
      <c r="PFR90" s="223"/>
      <c r="PFS90" s="223"/>
      <c r="PFT90" s="225"/>
      <c r="PFU90" s="220"/>
      <c r="PFV90" s="221"/>
      <c r="PFW90" s="222"/>
      <c r="PFX90" s="222"/>
      <c r="PFY90" s="223"/>
      <c r="PFZ90" s="223"/>
      <c r="PGA90" s="224"/>
      <c r="PGB90" s="223"/>
      <c r="PGC90" s="223"/>
      <c r="PGD90" s="223"/>
      <c r="PGE90" s="223"/>
      <c r="PGF90" s="225"/>
      <c r="PGG90" s="220"/>
      <c r="PGH90" s="221"/>
      <c r="PGI90" s="222"/>
      <c r="PGJ90" s="222"/>
      <c r="PGK90" s="223"/>
      <c r="PGL90" s="223"/>
      <c r="PGM90" s="224"/>
      <c r="PGN90" s="223"/>
      <c r="PGO90" s="223"/>
      <c r="PGP90" s="223"/>
      <c r="PGQ90" s="223"/>
      <c r="PGR90" s="225"/>
      <c r="PGS90" s="220"/>
      <c r="PGT90" s="221"/>
      <c r="PGU90" s="222"/>
      <c r="PGV90" s="222"/>
      <c r="PGW90" s="223"/>
      <c r="PGX90" s="223"/>
      <c r="PGY90" s="224"/>
      <c r="PGZ90" s="223"/>
      <c r="PHA90" s="223"/>
      <c r="PHB90" s="223"/>
      <c r="PHC90" s="223"/>
      <c r="PHD90" s="225"/>
      <c r="PHE90" s="220"/>
      <c r="PHF90" s="221"/>
      <c r="PHG90" s="222"/>
      <c r="PHH90" s="222"/>
      <c r="PHI90" s="223"/>
      <c r="PHJ90" s="223"/>
      <c r="PHK90" s="224"/>
      <c r="PHL90" s="223"/>
      <c r="PHM90" s="223"/>
      <c r="PHN90" s="223"/>
      <c r="PHO90" s="223"/>
      <c r="PHP90" s="225"/>
      <c r="PHQ90" s="220"/>
      <c r="PHR90" s="221"/>
      <c r="PHS90" s="222"/>
      <c r="PHT90" s="222"/>
      <c r="PHU90" s="223"/>
      <c r="PHV90" s="223"/>
      <c r="PHW90" s="224"/>
      <c r="PHX90" s="223"/>
      <c r="PHY90" s="223"/>
      <c r="PHZ90" s="223"/>
      <c r="PIA90" s="223"/>
      <c r="PIB90" s="225"/>
      <c r="PIC90" s="220"/>
      <c r="PID90" s="221"/>
      <c r="PIE90" s="222"/>
      <c r="PIF90" s="222"/>
      <c r="PIG90" s="223"/>
      <c r="PIH90" s="223"/>
      <c r="PII90" s="224"/>
      <c r="PIJ90" s="223"/>
      <c r="PIK90" s="223"/>
      <c r="PIL90" s="223"/>
      <c r="PIM90" s="223"/>
      <c r="PIN90" s="225"/>
      <c r="PIO90" s="220"/>
      <c r="PIP90" s="221"/>
      <c r="PIQ90" s="222"/>
      <c r="PIR90" s="222"/>
      <c r="PIS90" s="223"/>
      <c r="PIT90" s="223"/>
      <c r="PIU90" s="224"/>
      <c r="PIV90" s="223"/>
      <c r="PIW90" s="223"/>
      <c r="PIX90" s="223"/>
      <c r="PIY90" s="223"/>
      <c r="PIZ90" s="225"/>
      <c r="PJA90" s="220"/>
      <c r="PJB90" s="221"/>
      <c r="PJC90" s="222"/>
      <c r="PJD90" s="222"/>
      <c r="PJE90" s="223"/>
      <c r="PJF90" s="223"/>
      <c r="PJG90" s="224"/>
      <c r="PJH90" s="223"/>
      <c r="PJI90" s="223"/>
      <c r="PJJ90" s="223"/>
      <c r="PJK90" s="223"/>
      <c r="PJL90" s="225"/>
      <c r="PJM90" s="220"/>
      <c r="PJN90" s="221"/>
      <c r="PJO90" s="222"/>
      <c r="PJP90" s="222"/>
      <c r="PJQ90" s="223"/>
      <c r="PJR90" s="223"/>
      <c r="PJS90" s="224"/>
      <c r="PJT90" s="223"/>
      <c r="PJU90" s="223"/>
      <c r="PJV90" s="223"/>
      <c r="PJW90" s="223"/>
      <c r="PJX90" s="225"/>
      <c r="PJY90" s="220"/>
      <c r="PJZ90" s="221"/>
      <c r="PKA90" s="222"/>
      <c r="PKB90" s="222"/>
      <c r="PKC90" s="223"/>
      <c r="PKD90" s="223"/>
      <c r="PKE90" s="224"/>
      <c r="PKF90" s="223"/>
      <c r="PKG90" s="223"/>
      <c r="PKH90" s="223"/>
      <c r="PKI90" s="223"/>
      <c r="PKJ90" s="225"/>
      <c r="PKK90" s="220"/>
      <c r="PKL90" s="221"/>
      <c r="PKM90" s="222"/>
      <c r="PKN90" s="222"/>
      <c r="PKO90" s="223"/>
      <c r="PKP90" s="223"/>
      <c r="PKQ90" s="224"/>
      <c r="PKR90" s="223"/>
      <c r="PKS90" s="223"/>
      <c r="PKT90" s="223"/>
      <c r="PKU90" s="223"/>
      <c r="PKV90" s="225"/>
      <c r="PKW90" s="220"/>
      <c r="PKX90" s="221"/>
      <c r="PKY90" s="222"/>
      <c r="PKZ90" s="222"/>
      <c r="PLA90" s="223"/>
      <c r="PLB90" s="223"/>
      <c r="PLC90" s="224"/>
      <c r="PLD90" s="223"/>
      <c r="PLE90" s="223"/>
      <c r="PLF90" s="223"/>
      <c r="PLG90" s="223"/>
      <c r="PLH90" s="225"/>
      <c r="PLI90" s="220"/>
      <c r="PLJ90" s="221"/>
      <c r="PLK90" s="222"/>
      <c r="PLL90" s="222"/>
      <c r="PLM90" s="223"/>
      <c r="PLN90" s="223"/>
      <c r="PLO90" s="224"/>
      <c r="PLP90" s="223"/>
      <c r="PLQ90" s="223"/>
      <c r="PLR90" s="223"/>
      <c r="PLS90" s="223"/>
      <c r="PLT90" s="225"/>
      <c r="PLU90" s="220"/>
      <c r="PLV90" s="221"/>
      <c r="PLW90" s="222"/>
      <c r="PLX90" s="222"/>
      <c r="PLY90" s="223"/>
      <c r="PLZ90" s="223"/>
      <c r="PMA90" s="224"/>
      <c r="PMB90" s="223"/>
      <c r="PMC90" s="223"/>
      <c r="PMD90" s="223"/>
      <c r="PME90" s="223"/>
      <c r="PMF90" s="225"/>
      <c r="PMG90" s="220"/>
      <c r="PMH90" s="221"/>
      <c r="PMI90" s="222"/>
      <c r="PMJ90" s="222"/>
      <c r="PMK90" s="223"/>
      <c r="PML90" s="223"/>
      <c r="PMM90" s="224"/>
      <c r="PMN90" s="223"/>
      <c r="PMO90" s="223"/>
      <c r="PMP90" s="223"/>
      <c r="PMQ90" s="223"/>
      <c r="PMR90" s="225"/>
      <c r="PMS90" s="220"/>
      <c r="PMT90" s="221"/>
      <c r="PMU90" s="222"/>
      <c r="PMV90" s="222"/>
      <c r="PMW90" s="223"/>
      <c r="PMX90" s="223"/>
      <c r="PMY90" s="224"/>
      <c r="PMZ90" s="223"/>
      <c r="PNA90" s="223"/>
      <c r="PNB90" s="223"/>
      <c r="PNC90" s="223"/>
      <c r="PND90" s="225"/>
      <c r="PNE90" s="220"/>
      <c r="PNF90" s="221"/>
      <c r="PNG90" s="222"/>
      <c r="PNH90" s="222"/>
      <c r="PNI90" s="223"/>
      <c r="PNJ90" s="223"/>
      <c r="PNK90" s="224"/>
      <c r="PNL90" s="223"/>
      <c r="PNM90" s="223"/>
      <c r="PNN90" s="223"/>
      <c r="PNO90" s="223"/>
      <c r="PNP90" s="225"/>
      <c r="PNQ90" s="220"/>
      <c r="PNR90" s="221"/>
      <c r="PNS90" s="222"/>
      <c r="PNT90" s="222"/>
      <c r="PNU90" s="223"/>
      <c r="PNV90" s="223"/>
      <c r="PNW90" s="224"/>
      <c r="PNX90" s="223"/>
      <c r="PNY90" s="223"/>
      <c r="PNZ90" s="223"/>
      <c r="POA90" s="223"/>
      <c r="POB90" s="225"/>
      <c r="POC90" s="220"/>
      <c r="POD90" s="221"/>
      <c r="POE90" s="222"/>
      <c r="POF90" s="222"/>
      <c r="POG90" s="223"/>
      <c r="POH90" s="223"/>
      <c r="POI90" s="224"/>
      <c r="POJ90" s="223"/>
      <c r="POK90" s="223"/>
      <c r="POL90" s="223"/>
      <c r="POM90" s="223"/>
      <c r="PON90" s="225"/>
      <c r="POO90" s="220"/>
      <c r="POP90" s="221"/>
      <c r="POQ90" s="222"/>
      <c r="POR90" s="222"/>
      <c r="POS90" s="223"/>
      <c r="POT90" s="223"/>
      <c r="POU90" s="224"/>
      <c r="POV90" s="223"/>
      <c r="POW90" s="223"/>
      <c r="POX90" s="223"/>
      <c r="POY90" s="223"/>
      <c r="POZ90" s="225"/>
      <c r="PPA90" s="220"/>
      <c r="PPB90" s="221"/>
      <c r="PPC90" s="222"/>
      <c r="PPD90" s="222"/>
      <c r="PPE90" s="223"/>
      <c r="PPF90" s="223"/>
      <c r="PPG90" s="224"/>
      <c r="PPH90" s="223"/>
      <c r="PPI90" s="223"/>
      <c r="PPJ90" s="223"/>
      <c r="PPK90" s="223"/>
      <c r="PPL90" s="225"/>
      <c r="PPM90" s="220"/>
      <c r="PPN90" s="221"/>
      <c r="PPO90" s="222"/>
      <c r="PPP90" s="222"/>
      <c r="PPQ90" s="223"/>
      <c r="PPR90" s="223"/>
      <c r="PPS90" s="224"/>
      <c r="PPT90" s="223"/>
      <c r="PPU90" s="223"/>
      <c r="PPV90" s="223"/>
      <c r="PPW90" s="223"/>
      <c r="PPX90" s="225"/>
      <c r="PPY90" s="220"/>
      <c r="PPZ90" s="221"/>
      <c r="PQA90" s="222"/>
      <c r="PQB90" s="222"/>
      <c r="PQC90" s="223"/>
      <c r="PQD90" s="223"/>
      <c r="PQE90" s="224"/>
      <c r="PQF90" s="223"/>
      <c r="PQG90" s="223"/>
      <c r="PQH90" s="223"/>
      <c r="PQI90" s="223"/>
      <c r="PQJ90" s="225"/>
      <c r="PQK90" s="220"/>
      <c r="PQL90" s="221"/>
      <c r="PQM90" s="222"/>
      <c r="PQN90" s="222"/>
      <c r="PQO90" s="223"/>
      <c r="PQP90" s="223"/>
      <c r="PQQ90" s="224"/>
      <c r="PQR90" s="223"/>
      <c r="PQS90" s="223"/>
      <c r="PQT90" s="223"/>
      <c r="PQU90" s="223"/>
      <c r="PQV90" s="225"/>
      <c r="PQW90" s="220"/>
      <c r="PQX90" s="221"/>
      <c r="PQY90" s="222"/>
      <c r="PQZ90" s="222"/>
      <c r="PRA90" s="223"/>
      <c r="PRB90" s="223"/>
      <c r="PRC90" s="224"/>
      <c r="PRD90" s="223"/>
      <c r="PRE90" s="223"/>
      <c r="PRF90" s="223"/>
      <c r="PRG90" s="223"/>
      <c r="PRH90" s="225"/>
      <c r="PRI90" s="220"/>
      <c r="PRJ90" s="221"/>
      <c r="PRK90" s="222"/>
      <c r="PRL90" s="222"/>
      <c r="PRM90" s="223"/>
      <c r="PRN90" s="223"/>
      <c r="PRO90" s="224"/>
      <c r="PRP90" s="223"/>
      <c r="PRQ90" s="223"/>
      <c r="PRR90" s="223"/>
      <c r="PRS90" s="223"/>
      <c r="PRT90" s="225"/>
      <c r="PRU90" s="220"/>
      <c r="PRV90" s="221"/>
      <c r="PRW90" s="222"/>
      <c r="PRX90" s="222"/>
      <c r="PRY90" s="223"/>
      <c r="PRZ90" s="223"/>
      <c r="PSA90" s="224"/>
      <c r="PSB90" s="223"/>
      <c r="PSC90" s="223"/>
      <c r="PSD90" s="223"/>
      <c r="PSE90" s="223"/>
      <c r="PSF90" s="225"/>
      <c r="PSG90" s="220"/>
      <c r="PSH90" s="221"/>
      <c r="PSI90" s="222"/>
      <c r="PSJ90" s="222"/>
      <c r="PSK90" s="223"/>
      <c r="PSL90" s="223"/>
      <c r="PSM90" s="224"/>
      <c r="PSN90" s="223"/>
      <c r="PSO90" s="223"/>
      <c r="PSP90" s="223"/>
      <c r="PSQ90" s="223"/>
      <c r="PSR90" s="225"/>
      <c r="PSS90" s="220"/>
      <c r="PST90" s="221"/>
      <c r="PSU90" s="222"/>
      <c r="PSV90" s="222"/>
      <c r="PSW90" s="223"/>
      <c r="PSX90" s="223"/>
      <c r="PSY90" s="224"/>
      <c r="PSZ90" s="223"/>
      <c r="PTA90" s="223"/>
      <c r="PTB90" s="223"/>
      <c r="PTC90" s="223"/>
      <c r="PTD90" s="225"/>
      <c r="PTE90" s="220"/>
      <c r="PTF90" s="221"/>
      <c r="PTG90" s="222"/>
      <c r="PTH90" s="222"/>
      <c r="PTI90" s="223"/>
      <c r="PTJ90" s="223"/>
      <c r="PTK90" s="224"/>
      <c r="PTL90" s="223"/>
      <c r="PTM90" s="223"/>
      <c r="PTN90" s="223"/>
      <c r="PTO90" s="223"/>
      <c r="PTP90" s="225"/>
      <c r="PTQ90" s="220"/>
      <c r="PTR90" s="221"/>
      <c r="PTS90" s="222"/>
      <c r="PTT90" s="222"/>
      <c r="PTU90" s="223"/>
      <c r="PTV90" s="223"/>
      <c r="PTW90" s="224"/>
      <c r="PTX90" s="223"/>
      <c r="PTY90" s="223"/>
      <c r="PTZ90" s="223"/>
      <c r="PUA90" s="223"/>
      <c r="PUB90" s="225"/>
      <c r="PUC90" s="220"/>
      <c r="PUD90" s="221"/>
      <c r="PUE90" s="222"/>
      <c r="PUF90" s="222"/>
      <c r="PUG90" s="223"/>
      <c r="PUH90" s="223"/>
      <c r="PUI90" s="224"/>
      <c r="PUJ90" s="223"/>
      <c r="PUK90" s="223"/>
      <c r="PUL90" s="223"/>
      <c r="PUM90" s="223"/>
      <c r="PUN90" s="225"/>
      <c r="PUO90" s="220"/>
      <c r="PUP90" s="221"/>
      <c r="PUQ90" s="222"/>
      <c r="PUR90" s="222"/>
      <c r="PUS90" s="223"/>
      <c r="PUT90" s="223"/>
      <c r="PUU90" s="224"/>
      <c r="PUV90" s="223"/>
      <c r="PUW90" s="223"/>
      <c r="PUX90" s="223"/>
      <c r="PUY90" s="223"/>
      <c r="PUZ90" s="225"/>
      <c r="PVA90" s="220"/>
      <c r="PVB90" s="221"/>
      <c r="PVC90" s="222"/>
      <c r="PVD90" s="222"/>
      <c r="PVE90" s="223"/>
      <c r="PVF90" s="223"/>
      <c r="PVG90" s="224"/>
      <c r="PVH90" s="223"/>
      <c r="PVI90" s="223"/>
      <c r="PVJ90" s="223"/>
      <c r="PVK90" s="223"/>
      <c r="PVL90" s="225"/>
      <c r="PVM90" s="220"/>
      <c r="PVN90" s="221"/>
      <c r="PVO90" s="222"/>
      <c r="PVP90" s="222"/>
      <c r="PVQ90" s="223"/>
      <c r="PVR90" s="223"/>
      <c r="PVS90" s="224"/>
      <c r="PVT90" s="223"/>
      <c r="PVU90" s="223"/>
      <c r="PVV90" s="223"/>
      <c r="PVW90" s="223"/>
      <c r="PVX90" s="225"/>
      <c r="PVY90" s="220"/>
      <c r="PVZ90" s="221"/>
      <c r="PWA90" s="222"/>
      <c r="PWB90" s="222"/>
      <c r="PWC90" s="223"/>
      <c r="PWD90" s="223"/>
      <c r="PWE90" s="224"/>
      <c r="PWF90" s="223"/>
      <c r="PWG90" s="223"/>
      <c r="PWH90" s="223"/>
      <c r="PWI90" s="223"/>
      <c r="PWJ90" s="225"/>
      <c r="PWK90" s="220"/>
      <c r="PWL90" s="221"/>
      <c r="PWM90" s="222"/>
      <c r="PWN90" s="222"/>
      <c r="PWO90" s="223"/>
      <c r="PWP90" s="223"/>
      <c r="PWQ90" s="224"/>
      <c r="PWR90" s="223"/>
      <c r="PWS90" s="223"/>
      <c r="PWT90" s="223"/>
      <c r="PWU90" s="223"/>
      <c r="PWV90" s="225"/>
      <c r="PWW90" s="220"/>
      <c r="PWX90" s="221"/>
      <c r="PWY90" s="222"/>
      <c r="PWZ90" s="222"/>
      <c r="PXA90" s="223"/>
      <c r="PXB90" s="223"/>
      <c r="PXC90" s="224"/>
      <c r="PXD90" s="223"/>
      <c r="PXE90" s="223"/>
      <c r="PXF90" s="223"/>
      <c r="PXG90" s="223"/>
      <c r="PXH90" s="225"/>
      <c r="PXI90" s="220"/>
      <c r="PXJ90" s="221"/>
      <c r="PXK90" s="222"/>
      <c r="PXL90" s="222"/>
      <c r="PXM90" s="223"/>
      <c r="PXN90" s="223"/>
      <c r="PXO90" s="224"/>
      <c r="PXP90" s="223"/>
      <c r="PXQ90" s="223"/>
      <c r="PXR90" s="223"/>
      <c r="PXS90" s="223"/>
      <c r="PXT90" s="225"/>
      <c r="PXU90" s="220"/>
      <c r="PXV90" s="221"/>
      <c r="PXW90" s="222"/>
      <c r="PXX90" s="222"/>
      <c r="PXY90" s="223"/>
      <c r="PXZ90" s="223"/>
      <c r="PYA90" s="224"/>
      <c r="PYB90" s="223"/>
      <c r="PYC90" s="223"/>
      <c r="PYD90" s="223"/>
      <c r="PYE90" s="223"/>
      <c r="PYF90" s="225"/>
      <c r="PYG90" s="220"/>
      <c r="PYH90" s="221"/>
      <c r="PYI90" s="222"/>
      <c r="PYJ90" s="222"/>
      <c r="PYK90" s="223"/>
      <c r="PYL90" s="223"/>
      <c r="PYM90" s="224"/>
      <c r="PYN90" s="223"/>
      <c r="PYO90" s="223"/>
      <c r="PYP90" s="223"/>
      <c r="PYQ90" s="223"/>
      <c r="PYR90" s="225"/>
      <c r="PYS90" s="220"/>
      <c r="PYT90" s="221"/>
      <c r="PYU90" s="222"/>
      <c r="PYV90" s="222"/>
      <c r="PYW90" s="223"/>
      <c r="PYX90" s="223"/>
      <c r="PYY90" s="224"/>
      <c r="PYZ90" s="223"/>
      <c r="PZA90" s="223"/>
      <c r="PZB90" s="223"/>
      <c r="PZC90" s="223"/>
      <c r="PZD90" s="225"/>
      <c r="PZE90" s="220"/>
      <c r="PZF90" s="221"/>
      <c r="PZG90" s="222"/>
      <c r="PZH90" s="222"/>
      <c r="PZI90" s="223"/>
      <c r="PZJ90" s="223"/>
      <c r="PZK90" s="224"/>
      <c r="PZL90" s="223"/>
      <c r="PZM90" s="223"/>
      <c r="PZN90" s="223"/>
      <c r="PZO90" s="223"/>
      <c r="PZP90" s="225"/>
      <c r="PZQ90" s="220"/>
      <c r="PZR90" s="221"/>
      <c r="PZS90" s="222"/>
      <c r="PZT90" s="222"/>
      <c r="PZU90" s="223"/>
      <c r="PZV90" s="223"/>
      <c r="PZW90" s="224"/>
      <c r="PZX90" s="223"/>
      <c r="PZY90" s="223"/>
      <c r="PZZ90" s="223"/>
      <c r="QAA90" s="223"/>
      <c r="QAB90" s="225"/>
      <c r="QAC90" s="220"/>
      <c r="QAD90" s="221"/>
      <c r="QAE90" s="222"/>
      <c r="QAF90" s="222"/>
      <c r="QAG90" s="223"/>
      <c r="QAH90" s="223"/>
      <c r="QAI90" s="224"/>
      <c r="QAJ90" s="223"/>
      <c r="QAK90" s="223"/>
      <c r="QAL90" s="223"/>
      <c r="QAM90" s="223"/>
      <c r="QAN90" s="225"/>
      <c r="QAO90" s="220"/>
      <c r="QAP90" s="221"/>
      <c r="QAQ90" s="222"/>
      <c r="QAR90" s="222"/>
      <c r="QAS90" s="223"/>
      <c r="QAT90" s="223"/>
      <c r="QAU90" s="224"/>
      <c r="QAV90" s="223"/>
      <c r="QAW90" s="223"/>
      <c r="QAX90" s="223"/>
      <c r="QAY90" s="223"/>
      <c r="QAZ90" s="225"/>
      <c r="QBA90" s="220"/>
      <c r="QBB90" s="221"/>
      <c r="QBC90" s="222"/>
      <c r="QBD90" s="222"/>
      <c r="QBE90" s="223"/>
      <c r="QBF90" s="223"/>
      <c r="QBG90" s="224"/>
      <c r="QBH90" s="223"/>
      <c r="QBI90" s="223"/>
      <c r="QBJ90" s="223"/>
      <c r="QBK90" s="223"/>
      <c r="QBL90" s="225"/>
      <c r="QBM90" s="220"/>
      <c r="QBN90" s="221"/>
      <c r="QBO90" s="222"/>
      <c r="QBP90" s="222"/>
      <c r="QBQ90" s="223"/>
      <c r="QBR90" s="223"/>
      <c r="QBS90" s="224"/>
      <c r="QBT90" s="223"/>
      <c r="QBU90" s="223"/>
      <c r="QBV90" s="223"/>
      <c r="QBW90" s="223"/>
      <c r="QBX90" s="225"/>
      <c r="QBY90" s="220"/>
      <c r="QBZ90" s="221"/>
      <c r="QCA90" s="222"/>
      <c r="QCB90" s="222"/>
      <c r="QCC90" s="223"/>
      <c r="QCD90" s="223"/>
      <c r="QCE90" s="224"/>
      <c r="QCF90" s="223"/>
      <c r="QCG90" s="223"/>
      <c r="QCH90" s="223"/>
      <c r="QCI90" s="223"/>
      <c r="QCJ90" s="225"/>
      <c r="QCK90" s="220"/>
      <c r="QCL90" s="221"/>
      <c r="QCM90" s="222"/>
      <c r="QCN90" s="222"/>
      <c r="QCO90" s="223"/>
      <c r="QCP90" s="223"/>
      <c r="QCQ90" s="224"/>
      <c r="QCR90" s="223"/>
      <c r="QCS90" s="223"/>
      <c r="QCT90" s="223"/>
      <c r="QCU90" s="223"/>
      <c r="QCV90" s="225"/>
      <c r="QCW90" s="220"/>
      <c r="QCX90" s="221"/>
      <c r="QCY90" s="222"/>
      <c r="QCZ90" s="222"/>
      <c r="QDA90" s="223"/>
      <c r="QDB90" s="223"/>
      <c r="QDC90" s="224"/>
      <c r="QDD90" s="223"/>
      <c r="QDE90" s="223"/>
      <c r="QDF90" s="223"/>
      <c r="QDG90" s="223"/>
      <c r="QDH90" s="225"/>
      <c r="QDI90" s="220"/>
      <c r="QDJ90" s="221"/>
      <c r="QDK90" s="222"/>
      <c r="QDL90" s="222"/>
      <c r="QDM90" s="223"/>
      <c r="QDN90" s="223"/>
      <c r="QDO90" s="224"/>
      <c r="QDP90" s="223"/>
      <c r="QDQ90" s="223"/>
      <c r="QDR90" s="223"/>
      <c r="QDS90" s="223"/>
      <c r="QDT90" s="225"/>
      <c r="QDU90" s="220"/>
      <c r="QDV90" s="221"/>
      <c r="QDW90" s="222"/>
      <c r="QDX90" s="222"/>
      <c r="QDY90" s="223"/>
      <c r="QDZ90" s="223"/>
      <c r="QEA90" s="224"/>
      <c r="QEB90" s="223"/>
      <c r="QEC90" s="223"/>
      <c r="QED90" s="223"/>
      <c r="QEE90" s="223"/>
      <c r="QEF90" s="225"/>
      <c r="QEG90" s="220"/>
      <c r="QEH90" s="221"/>
      <c r="QEI90" s="222"/>
      <c r="QEJ90" s="222"/>
      <c r="QEK90" s="223"/>
      <c r="QEL90" s="223"/>
      <c r="QEM90" s="224"/>
      <c r="QEN90" s="223"/>
      <c r="QEO90" s="223"/>
      <c r="QEP90" s="223"/>
      <c r="QEQ90" s="223"/>
      <c r="QER90" s="225"/>
      <c r="QES90" s="220"/>
      <c r="QET90" s="221"/>
      <c r="QEU90" s="222"/>
      <c r="QEV90" s="222"/>
      <c r="QEW90" s="223"/>
      <c r="QEX90" s="223"/>
      <c r="QEY90" s="224"/>
      <c r="QEZ90" s="223"/>
      <c r="QFA90" s="223"/>
      <c r="QFB90" s="223"/>
      <c r="QFC90" s="223"/>
      <c r="QFD90" s="225"/>
      <c r="QFE90" s="220"/>
      <c r="QFF90" s="221"/>
      <c r="QFG90" s="222"/>
      <c r="QFH90" s="222"/>
      <c r="QFI90" s="223"/>
      <c r="QFJ90" s="223"/>
      <c r="QFK90" s="224"/>
      <c r="QFL90" s="223"/>
      <c r="QFM90" s="223"/>
      <c r="QFN90" s="223"/>
      <c r="QFO90" s="223"/>
      <c r="QFP90" s="225"/>
      <c r="QFQ90" s="220"/>
      <c r="QFR90" s="221"/>
      <c r="QFS90" s="222"/>
      <c r="QFT90" s="222"/>
      <c r="QFU90" s="223"/>
      <c r="QFV90" s="223"/>
      <c r="QFW90" s="224"/>
      <c r="QFX90" s="223"/>
      <c r="QFY90" s="223"/>
      <c r="QFZ90" s="223"/>
      <c r="QGA90" s="223"/>
      <c r="QGB90" s="225"/>
      <c r="QGC90" s="220"/>
      <c r="QGD90" s="221"/>
      <c r="QGE90" s="222"/>
      <c r="QGF90" s="222"/>
      <c r="QGG90" s="223"/>
      <c r="QGH90" s="223"/>
      <c r="QGI90" s="224"/>
      <c r="QGJ90" s="223"/>
      <c r="QGK90" s="223"/>
      <c r="QGL90" s="223"/>
      <c r="QGM90" s="223"/>
      <c r="QGN90" s="225"/>
      <c r="QGO90" s="220"/>
      <c r="QGP90" s="221"/>
      <c r="QGQ90" s="222"/>
      <c r="QGR90" s="222"/>
      <c r="QGS90" s="223"/>
      <c r="QGT90" s="223"/>
      <c r="QGU90" s="224"/>
      <c r="QGV90" s="223"/>
      <c r="QGW90" s="223"/>
      <c r="QGX90" s="223"/>
      <c r="QGY90" s="223"/>
      <c r="QGZ90" s="225"/>
      <c r="QHA90" s="220"/>
      <c r="QHB90" s="221"/>
      <c r="QHC90" s="222"/>
      <c r="QHD90" s="222"/>
      <c r="QHE90" s="223"/>
      <c r="QHF90" s="223"/>
      <c r="QHG90" s="224"/>
      <c r="QHH90" s="223"/>
      <c r="QHI90" s="223"/>
      <c r="QHJ90" s="223"/>
      <c r="QHK90" s="223"/>
      <c r="QHL90" s="225"/>
      <c r="QHM90" s="220"/>
      <c r="QHN90" s="221"/>
      <c r="QHO90" s="222"/>
      <c r="QHP90" s="222"/>
      <c r="QHQ90" s="223"/>
      <c r="QHR90" s="223"/>
      <c r="QHS90" s="224"/>
      <c r="QHT90" s="223"/>
      <c r="QHU90" s="223"/>
      <c r="QHV90" s="223"/>
      <c r="QHW90" s="223"/>
      <c r="QHX90" s="225"/>
      <c r="QHY90" s="220"/>
      <c r="QHZ90" s="221"/>
      <c r="QIA90" s="222"/>
      <c r="QIB90" s="222"/>
      <c r="QIC90" s="223"/>
      <c r="QID90" s="223"/>
      <c r="QIE90" s="224"/>
      <c r="QIF90" s="223"/>
      <c r="QIG90" s="223"/>
      <c r="QIH90" s="223"/>
      <c r="QII90" s="223"/>
      <c r="QIJ90" s="225"/>
      <c r="QIK90" s="220"/>
      <c r="QIL90" s="221"/>
      <c r="QIM90" s="222"/>
      <c r="QIN90" s="222"/>
      <c r="QIO90" s="223"/>
      <c r="QIP90" s="223"/>
      <c r="QIQ90" s="224"/>
      <c r="QIR90" s="223"/>
      <c r="QIS90" s="223"/>
      <c r="QIT90" s="223"/>
      <c r="QIU90" s="223"/>
      <c r="QIV90" s="225"/>
      <c r="QIW90" s="220"/>
      <c r="QIX90" s="221"/>
      <c r="QIY90" s="222"/>
      <c r="QIZ90" s="222"/>
      <c r="QJA90" s="223"/>
      <c r="QJB90" s="223"/>
      <c r="QJC90" s="224"/>
      <c r="QJD90" s="223"/>
      <c r="QJE90" s="223"/>
      <c r="QJF90" s="223"/>
      <c r="QJG90" s="223"/>
      <c r="QJH90" s="225"/>
      <c r="QJI90" s="220"/>
      <c r="QJJ90" s="221"/>
      <c r="QJK90" s="222"/>
      <c r="QJL90" s="222"/>
      <c r="QJM90" s="223"/>
      <c r="QJN90" s="223"/>
      <c r="QJO90" s="224"/>
      <c r="QJP90" s="223"/>
      <c r="QJQ90" s="223"/>
      <c r="QJR90" s="223"/>
      <c r="QJS90" s="223"/>
      <c r="QJT90" s="225"/>
      <c r="QJU90" s="220"/>
      <c r="QJV90" s="221"/>
      <c r="QJW90" s="222"/>
      <c r="QJX90" s="222"/>
      <c r="QJY90" s="223"/>
      <c r="QJZ90" s="223"/>
      <c r="QKA90" s="224"/>
      <c r="QKB90" s="223"/>
      <c r="QKC90" s="223"/>
      <c r="QKD90" s="223"/>
      <c r="QKE90" s="223"/>
      <c r="QKF90" s="225"/>
      <c r="QKG90" s="220"/>
      <c r="QKH90" s="221"/>
      <c r="QKI90" s="222"/>
      <c r="QKJ90" s="222"/>
      <c r="QKK90" s="223"/>
      <c r="QKL90" s="223"/>
      <c r="QKM90" s="224"/>
      <c r="QKN90" s="223"/>
      <c r="QKO90" s="223"/>
      <c r="QKP90" s="223"/>
      <c r="QKQ90" s="223"/>
      <c r="QKR90" s="225"/>
      <c r="QKS90" s="220"/>
      <c r="QKT90" s="221"/>
      <c r="QKU90" s="222"/>
      <c r="QKV90" s="222"/>
      <c r="QKW90" s="223"/>
      <c r="QKX90" s="223"/>
      <c r="QKY90" s="224"/>
      <c r="QKZ90" s="223"/>
      <c r="QLA90" s="223"/>
      <c r="QLB90" s="223"/>
      <c r="QLC90" s="223"/>
      <c r="QLD90" s="225"/>
      <c r="QLE90" s="220"/>
      <c r="QLF90" s="221"/>
      <c r="QLG90" s="222"/>
      <c r="QLH90" s="222"/>
      <c r="QLI90" s="223"/>
      <c r="QLJ90" s="223"/>
      <c r="QLK90" s="224"/>
      <c r="QLL90" s="223"/>
      <c r="QLM90" s="223"/>
      <c r="QLN90" s="223"/>
      <c r="QLO90" s="223"/>
      <c r="QLP90" s="225"/>
      <c r="QLQ90" s="220"/>
      <c r="QLR90" s="221"/>
      <c r="QLS90" s="222"/>
      <c r="QLT90" s="222"/>
      <c r="QLU90" s="223"/>
      <c r="QLV90" s="223"/>
      <c r="QLW90" s="224"/>
      <c r="QLX90" s="223"/>
      <c r="QLY90" s="223"/>
      <c r="QLZ90" s="223"/>
      <c r="QMA90" s="223"/>
      <c r="QMB90" s="225"/>
      <c r="QMC90" s="220"/>
      <c r="QMD90" s="221"/>
      <c r="QME90" s="222"/>
      <c r="QMF90" s="222"/>
      <c r="QMG90" s="223"/>
      <c r="QMH90" s="223"/>
      <c r="QMI90" s="224"/>
      <c r="QMJ90" s="223"/>
      <c r="QMK90" s="223"/>
      <c r="QML90" s="223"/>
      <c r="QMM90" s="223"/>
      <c r="QMN90" s="225"/>
      <c r="QMO90" s="220"/>
      <c r="QMP90" s="221"/>
      <c r="QMQ90" s="222"/>
      <c r="QMR90" s="222"/>
      <c r="QMS90" s="223"/>
      <c r="QMT90" s="223"/>
      <c r="QMU90" s="224"/>
      <c r="QMV90" s="223"/>
      <c r="QMW90" s="223"/>
      <c r="QMX90" s="223"/>
      <c r="QMY90" s="223"/>
      <c r="QMZ90" s="225"/>
      <c r="QNA90" s="220"/>
      <c r="QNB90" s="221"/>
      <c r="QNC90" s="222"/>
      <c r="QND90" s="222"/>
      <c r="QNE90" s="223"/>
      <c r="QNF90" s="223"/>
      <c r="QNG90" s="224"/>
      <c r="QNH90" s="223"/>
      <c r="QNI90" s="223"/>
      <c r="QNJ90" s="223"/>
      <c r="QNK90" s="223"/>
      <c r="QNL90" s="225"/>
      <c r="QNM90" s="220"/>
      <c r="QNN90" s="221"/>
      <c r="QNO90" s="222"/>
      <c r="QNP90" s="222"/>
      <c r="QNQ90" s="223"/>
      <c r="QNR90" s="223"/>
      <c r="QNS90" s="224"/>
      <c r="QNT90" s="223"/>
      <c r="QNU90" s="223"/>
      <c r="QNV90" s="223"/>
      <c r="QNW90" s="223"/>
      <c r="QNX90" s="225"/>
      <c r="QNY90" s="220"/>
      <c r="QNZ90" s="221"/>
      <c r="QOA90" s="222"/>
      <c r="QOB90" s="222"/>
      <c r="QOC90" s="223"/>
      <c r="QOD90" s="223"/>
      <c r="QOE90" s="224"/>
      <c r="QOF90" s="223"/>
      <c r="QOG90" s="223"/>
      <c r="QOH90" s="223"/>
      <c r="QOI90" s="223"/>
      <c r="QOJ90" s="225"/>
      <c r="QOK90" s="220"/>
      <c r="QOL90" s="221"/>
      <c r="QOM90" s="222"/>
      <c r="QON90" s="222"/>
      <c r="QOO90" s="223"/>
      <c r="QOP90" s="223"/>
      <c r="QOQ90" s="224"/>
      <c r="QOR90" s="223"/>
      <c r="QOS90" s="223"/>
      <c r="QOT90" s="223"/>
      <c r="QOU90" s="223"/>
      <c r="QOV90" s="225"/>
      <c r="QOW90" s="220"/>
      <c r="QOX90" s="221"/>
      <c r="QOY90" s="222"/>
      <c r="QOZ90" s="222"/>
      <c r="QPA90" s="223"/>
      <c r="QPB90" s="223"/>
      <c r="QPC90" s="224"/>
      <c r="QPD90" s="223"/>
      <c r="QPE90" s="223"/>
      <c r="QPF90" s="223"/>
      <c r="QPG90" s="223"/>
      <c r="QPH90" s="225"/>
      <c r="QPI90" s="220"/>
      <c r="QPJ90" s="221"/>
      <c r="QPK90" s="222"/>
      <c r="QPL90" s="222"/>
      <c r="QPM90" s="223"/>
      <c r="QPN90" s="223"/>
      <c r="QPO90" s="224"/>
      <c r="QPP90" s="223"/>
      <c r="QPQ90" s="223"/>
      <c r="QPR90" s="223"/>
      <c r="QPS90" s="223"/>
      <c r="QPT90" s="225"/>
      <c r="QPU90" s="220"/>
      <c r="QPV90" s="221"/>
      <c r="QPW90" s="222"/>
      <c r="QPX90" s="222"/>
      <c r="QPY90" s="223"/>
      <c r="QPZ90" s="223"/>
      <c r="QQA90" s="224"/>
      <c r="QQB90" s="223"/>
      <c r="QQC90" s="223"/>
      <c r="QQD90" s="223"/>
      <c r="QQE90" s="223"/>
      <c r="QQF90" s="225"/>
      <c r="QQG90" s="220"/>
      <c r="QQH90" s="221"/>
      <c r="QQI90" s="222"/>
      <c r="QQJ90" s="222"/>
      <c r="QQK90" s="223"/>
      <c r="QQL90" s="223"/>
      <c r="QQM90" s="224"/>
      <c r="QQN90" s="223"/>
      <c r="QQO90" s="223"/>
      <c r="QQP90" s="223"/>
      <c r="QQQ90" s="223"/>
      <c r="QQR90" s="225"/>
      <c r="QQS90" s="220"/>
      <c r="QQT90" s="221"/>
      <c r="QQU90" s="222"/>
      <c r="QQV90" s="222"/>
      <c r="QQW90" s="223"/>
      <c r="QQX90" s="223"/>
      <c r="QQY90" s="224"/>
      <c r="QQZ90" s="223"/>
      <c r="QRA90" s="223"/>
      <c r="QRB90" s="223"/>
      <c r="QRC90" s="223"/>
      <c r="QRD90" s="225"/>
      <c r="QRE90" s="220"/>
      <c r="QRF90" s="221"/>
      <c r="QRG90" s="222"/>
      <c r="QRH90" s="222"/>
      <c r="QRI90" s="223"/>
      <c r="QRJ90" s="223"/>
      <c r="QRK90" s="224"/>
      <c r="QRL90" s="223"/>
      <c r="QRM90" s="223"/>
      <c r="QRN90" s="223"/>
      <c r="QRO90" s="223"/>
      <c r="QRP90" s="225"/>
      <c r="QRQ90" s="220"/>
      <c r="QRR90" s="221"/>
      <c r="QRS90" s="222"/>
      <c r="QRT90" s="222"/>
      <c r="QRU90" s="223"/>
      <c r="QRV90" s="223"/>
      <c r="QRW90" s="224"/>
      <c r="QRX90" s="223"/>
      <c r="QRY90" s="223"/>
      <c r="QRZ90" s="223"/>
      <c r="QSA90" s="223"/>
      <c r="QSB90" s="225"/>
      <c r="QSC90" s="220"/>
      <c r="QSD90" s="221"/>
      <c r="QSE90" s="222"/>
      <c r="QSF90" s="222"/>
      <c r="QSG90" s="223"/>
      <c r="QSH90" s="223"/>
      <c r="QSI90" s="224"/>
      <c r="QSJ90" s="223"/>
      <c r="QSK90" s="223"/>
      <c r="QSL90" s="223"/>
      <c r="QSM90" s="223"/>
      <c r="QSN90" s="225"/>
      <c r="QSO90" s="220"/>
      <c r="QSP90" s="221"/>
      <c r="QSQ90" s="222"/>
      <c r="QSR90" s="222"/>
      <c r="QSS90" s="223"/>
      <c r="QST90" s="223"/>
      <c r="QSU90" s="224"/>
      <c r="QSV90" s="223"/>
      <c r="QSW90" s="223"/>
      <c r="QSX90" s="223"/>
      <c r="QSY90" s="223"/>
      <c r="QSZ90" s="225"/>
      <c r="QTA90" s="220"/>
      <c r="QTB90" s="221"/>
      <c r="QTC90" s="222"/>
      <c r="QTD90" s="222"/>
      <c r="QTE90" s="223"/>
      <c r="QTF90" s="223"/>
      <c r="QTG90" s="224"/>
      <c r="QTH90" s="223"/>
      <c r="QTI90" s="223"/>
      <c r="QTJ90" s="223"/>
      <c r="QTK90" s="223"/>
      <c r="QTL90" s="225"/>
      <c r="QTM90" s="220"/>
      <c r="QTN90" s="221"/>
      <c r="QTO90" s="222"/>
      <c r="QTP90" s="222"/>
      <c r="QTQ90" s="223"/>
      <c r="QTR90" s="223"/>
      <c r="QTS90" s="224"/>
      <c r="QTT90" s="223"/>
      <c r="QTU90" s="223"/>
      <c r="QTV90" s="223"/>
      <c r="QTW90" s="223"/>
      <c r="QTX90" s="225"/>
      <c r="QTY90" s="220"/>
      <c r="QTZ90" s="221"/>
      <c r="QUA90" s="222"/>
      <c r="QUB90" s="222"/>
      <c r="QUC90" s="223"/>
      <c r="QUD90" s="223"/>
      <c r="QUE90" s="224"/>
      <c r="QUF90" s="223"/>
      <c r="QUG90" s="223"/>
      <c r="QUH90" s="223"/>
      <c r="QUI90" s="223"/>
      <c r="QUJ90" s="225"/>
      <c r="QUK90" s="220"/>
      <c r="QUL90" s="221"/>
      <c r="QUM90" s="222"/>
      <c r="QUN90" s="222"/>
      <c r="QUO90" s="223"/>
      <c r="QUP90" s="223"/>
      <c r="QUQ90" s="224"/>
      <c r="QUR90" s="223"/>
      <c r="QUS90" s="223"/>
      <c r="QUT90" s="223"/>
      <c r="QUU90" s="223"/>
      <c r="QUV90" s="225"/>
      <c r="QUW90" s="220"/>
      <c r="QUX90" s="221"/>
      <c r="QUY90" s="222"/>
      <c r="QUZ90" s="222"/>
      <c r="QVA90" s="223"/>
      <c r="QVB90" s="223"/>
      <c r="QVC90" s="224"/>
      <c r="QVD90" s="223"/>
      <c r="QVE90" s="223"/>
      <c r="QVF90" s="223"/>
      <c r="QVG90" s="223"/>
      <c r="QVH90" s="225"/>
      <c r="QVI90" s="220"/>
      <c r="QVJ90" s="221"/>
      <c r="QVK90" s="222"/>
      <c r="QVL90" s="222"/>
      <c r="QVM90" s="223"/>
      <c r="QVN90" s="223"/>
      <c r="QVO90" s="224"/>
      <c r="QVP90" s="223"/>
      <c r="QVQ90" s="223"/>
      <c r="QVR90" s="223"/>
      <c r="QVS90" s="223"/>
      <c r="QVT90" s="225"/>
      <c r="QVU90" s="220"/>
      <c r="QVV90" s="221"/>
      <c r="QVW90" s="222"/>
      <c r="QVX90" s="222"/>
      <c r="QVY90" s="223"/>
      <c r="QVZ90" s="223"/>
      <c r="QWA90" s="224"/>
      <c r="QWB90" s="223"/>
      <c r="QWC90" s="223"/>
      <c r="QWD90" s="223"/>
      <c r="QWE90" s="223"/>
      <c r="QWF90" s="225"/>
      <c r="QWG90" s="220"/>
      <c r="QWH90" s="221"/>
      <c r="QWI90" s="222"/>
      <c r="QWJ90" s="222"/>
      <c r="QWK90" s="223"/>
      <c r="QWL90" s="223"/>
      <c r="QWM90" s="224"/>
      <c r="QWN90" s="223"/>
      <c r="QWO90" s="223"/>
      <c r="QWP90" s="223"/>
      <c r="QWQ90" s="223"/>
      <c r="QWR90" s="225"/>
      <c r="QWS90" s="220"/>
      <c r="QWT90" s="221"/>
      <c r="QWU90" s="222"/>
      <c r="QWV90" s="222"/>
      <c r="QWW90" s="223"/>
      <c r="QWX90" s="223"/>
      <c r="QWY90" s="224"/>
      <c r="QWZ90" s="223"/>
      <c r="QXA90" s="223"/>
      <c r="QXB90" s="223"/>
      <c r="QXC90" s="223"/>
      <c r="QXD90" s="225"/>
      <c r="QXE90" s="220"/>
      <c r="QXF90" s="221"/>
      <c r="QXG90" s="222"/>
      <c r="QXH90" s="222"/>
      <c r="QXI90" s="223"/>
      <c r="QXJ90" s="223"/>
      <c r="QXK90" s="224"/>
      <c r="QXL90" s="223"/>
      <c r="QXM90" s="223"/>
      <c r="QXN90" s="223"/>
      <c r="QXO90" s="223"/>
      <c r="QXP90" s="225"/>
      <c r="QXQ90" s="220"/>
      <c r="QXR90" s="221"/>
      <c r="QXS90" s="222"/>
      <c r="QXT90" s="222"/>
      <c r="QXU90" s="223"/>
      <c r="QXV90" s="223"/>
      <c r="QXW90" s="224"/>
      <c r="QXX90" s="223"/>
      <c r="QXY90" s="223"/>
      <c r="QXZ90" s="223"/>
      <c r="QYA90" s="223"/>
      <c r="QYB90" s="225"/>
      <c r="QYC90" s="220"/>
      <c r="QYD90" s="221"/>
      <c r="QYE90" s="222"/>
      <c r="QYF90" s="222"/>
      <c r="QYG90" s="223"/>
      <c r="QYH90" s="223"/>
      <c r="QYI90" s="224"/>
      <c r="QYJ90" s="223"/>
      <c r="QYK90" s="223"/>
      <c r="QYL90" s="223"/>
      <c r="QYM90" s="223"/>
      <c r="QYN90" s="225"/>
      <c r="QYO90" s="220"/>
      <c r="QYP90" s="221"/>
      <c r="QYQ90" s="222"/>
      <c r="QYR90" s="222"/>
      <c r="QYS90" s="223"/>
      <c r="QYT90" s="223"/>
      <c r="QYU90" s="224"/>
      <c r="QYV90" s="223"/>
      <c r="QYW90" s="223"/>
      <c r="QYX90" s="223"/>
      <c r="QYY90" s="223"/>
      <c r="QYZ90" s="225"/>
      <c r="QZA90" s="220"/>
      <c r="QZB90" s="221"/>
      <c r="QZC90" s="222"/>
      <c r="QZD90" s="222"/>
      <c r="QZE90" s="223"/>
      <c r="QZF90" s="223"/>
      <c r="QZG90" s="224"/>
      <c r="QZH90" s="223"/>
      <c r="QZI90" s="223"/>
      <c r="QZJ90" s="223"/>
      <c r="QZK90" s="223"/>
      <c r="QZL90" s="225"/>
      <c r="QZM90" s="220"/>
      <c r="QZN90" s="221"/>
      <c r="QZO90" s="222"/>
      <c r="QZP90" s="222"/>
      <c r="QZQ90" s="223"/>
      <c r="QZR90" s="223"/>
      <c r="QZS90" s="224"/>
      <c r="QZT90" s="223"/>
      <c r="QZU90" s="223"/>
      <c r="QZV90" s="223"/>
      <c r="QZW90" s="223"/>
      <c r="QZX90" s="225"/>
      <c r="QZY90" s="220"/>
      <c r="QZZ90" s="221"/>
      <c r="RAA90" s="222"/>
      <c r="RAB90" s="222"/>
      <c r="RAC90" s="223"/>
      <c r="RAD90" s="223"/>
      <c r="RAE90" s="224"/>
      <c r="RAF90" s="223"/>
      <c r="RAG90" s="223"/>
      <c r="RAH90" s="223"/>
      <c r="RAI90" s="223"/>
      <c r="RAJ90" s="225"/>
      <c r="RAK90" s="220"/>
      <c r="RAL90" s="221"/>
      <c r="RAM90" s="222"/>
      <c r="RAN90" s="222"/>
      <c r="RAO90" s="223"/>
      <c r="RAP90" s="223"/>
      <c r="RAQ90" s="224"/>
      <c r="RAR90" s="223"/>
      <c r="RAS90" s="223"/>
      <c r="RAT90" s="223"/>
      <c r="RAU90" s="223"/>
      <c r="RAV90" s="225"/>
      <c r="RAW90" s="220"/>
      <c r="RAX90" s="221"/>
      <c r="RAY90" s="222"/>
      <c r="RAZ90" s="222"/>
      <c r="RBA90" s="223"/>
      <c r="RBB90" s="223"/>
      <c r="RBC90" s="224"/>
      <c r="RBD90" s="223"/>
      <c r="RBE90" s="223"/>
      <c r="RBF90" s="223"/>
      <c r="RBG90" s="223"/>
      <c r="RBH90" s="225"/>
      <c r="RBI90" s="220"/>
      <c r="RBJ90" s="221"/>
      <c r="RBK90" s="222"/>
      <c r="RBL90" s="222"/>
      <c r="RBM90" s="223"/>
      <c r="RBN90" s="223"/>
      <c r="RBO90" s="224"/>
      <c r="RBP90" s="223"/>
      <c r="RBQ90" s="223"/>
      <c r="RBR90" s="223"/>
      <c r="RBS90" s="223"/>
      <c r="RBT90" s="225"/>
      <c r="RBU90" s="220"/>
      <c r="RBV90" s="221"/>
      <c r="RBW90" s="222"/>
      <c r="RBX90" s="222"/>
      <c r="RBY90" s="223"/>
      <c r="RBZ90" s="223"/>
      <c r="RCA90" s="224"/>
      <c r="RCB90" s="223"/>
      <c r="RCC90" s="223"/>
      <c r="RCD90" s="223"/>
      <c r="RCE90" s="223"/>
      <c r="RCF90" s="225"/>
      <c r="RCG90" s="220"/>
      <c r="RCH90" s="221"/>
      <c r="RCI90" s="222"/>
      <c r="RCJ90" s="222"/>
      <c r="RCK90" s="223"/>
      <c r="RCL90" s="223"/>
      <c r="RCM90" s="224"/>
      <c r="RCN90" s="223"/>
      <c r="RCO90" s="223"/>
      <c r="RCP90" s="223"/>
      <c r="RCQ90" s="223"/>
      <c r="RCR90" s="225"/>
      <c r="RCS90" s="220"/>
      <c r="RCT90" s="221"/>
      <c r="RCU90" s="222"/>
      <c r="RCV90" s="222"/>
      <c r="RCW90" s="223"/>
      <c r="RCX90" s="223"/>
      <c r="RCY90" s="224"/>
      <c r="RCZ90" s="223"/>
      <c r="RDA90" s="223"/>
      <c r="RDB90" s="223"/>
      <c r="RDC90" s="223"/>
      <c r="RDD90" s="225"/>
      <c r="RDE90" s="220"/>
      <c r="RDF90" s="221"/>
      <c r="RDG90" s="222"/>
      <c r="RDH90" s="222"/>
      <c r="RDI90" s="223"/>
      <c r="RDJ90" s="223"/>
      <c r="RDK90" s="224"/>
      <c r="RDL90" s="223"/>
      <c r="RDM90" s="223"/>
      <c r="RDN90" s="223"/>
      <c r="RDO90" s="223"/>
      <c r="RDP90" s="225"/>
      <c r="RDQ90" s="220"/>
      <c r="RDR90" s="221"/>
      <c r="RDS90" s="222"/>
      <c r="RDT90" s="222"/>
      <c r="RDU90" s="223"/>
      <c r="RDV90" s="223"/>
      <c r="RDW90" s="224"/>
      <c r="RDX90" s="223"/>
      <c r="RDY90" s="223"/>
      <c r="RDZ90" s="223"/>
      <c r="REA90" s="223"/>
      <c r="REB90" s="225"/>
      <c r="REC90" s="220"/>
      <c r="RED90" s="221"/>
      <c r="REE90" s="222"/>
      <c r="REF90" s="222"/>
      <c r="REG90" s="223"/>
      <c r="REH90" s="223"/>
      <c r="REI90" s="224"/>
      <c r="REJ90" s="223"/>
      <c r="REK90" s="223"/>
      <c r="REL90" s="223"/>
      <c r="REM90" s="223"/>
      <c r="REN90" s="225"/>
      <c r="REO90" s="220"/>
      <c r="REP90" s="221"/>
      <c r="REQ90" s="222"/>
      <c r="RER90" s="222"/>
      <c r="RES90" s="223"/>
      <c r="RET90" s="223"/>
      <c r="REU90" s="224"/>
      <c r="REV90" s="223"/>
      <c r="REW90" s="223"/>
      <c r="REX90" s="223"/>
      <c r="REY90" s="223"/>
      <c r="REZ90" s="225"/>
      <c r="RFA90" s="220"/>
      <c r="RFB90" s="221"/>
      <c r="RFC90" s="222"/>
      <c r="RFD90" s="222"/>
      <c r="RFE90" s="223"/>
      <c r="RFF90" s="223"/>
      <c r="RFG90" s="224"/>
      <c r="RFH90" s="223"/>
      <c r="RFI90" s="223"/>
      <c r="RFJ90" s="223"/>
      <c r="RFK90" s="223"/>
      <c r="RFL90" s="225"/>
      <c r="RFM90" s="220"/>
      <c r="RFN90" s="221"/>
      <c r="RFO90" s="222"/>
      <c r="RFP90" s="222"/>
      <c r="RFQ90" s="223"/>
      <c r="RFR90" s="223"/>
      <c r="RFS90" s="224"/>
      <c r="RFT90" s="223"/>
      <c r="RFU90" s="223"/>
      <c r="RFV90" s="223"/>
      <c r="RFW90" s="223"/>
      <c r="RFX90" s="225"/>
      <c r="RFY90" s="220"/>
      <c r="RFZ90" s="221"/>
      <c r="RGA90" s="222"/>
      <c r="RGB90" s="222"/>
      <c r="RGC90" s="223"/>
      <c r="RGD90" s="223"/>
      <c r="RGE90" s="224"/>
      <c r="RGF90" s="223"/>
      <c r="RGG90" s="223"/>
      <c r="RGH90" s="223"/>
      <c r="RGI90" s="223"/>
      <c r="RGJ90" s="225"/>
      <c r="RGK90" s="220"/>
      <c r="RGL90" s="221"/>
      <c r="RGM90" s="222"/>
      <c r="RGN90" s="222"/>
      <c r="RGO90" s="223"/>
      <c r="RGP90" s="223"/>
      <c r="RGQ90" s="224"/>
      <c r="RGR90" s="223"/>
      <c r="RGS90" s="223"/>
      <c r="RGT90" s="223"/>
      <c r="RGU90" s="223"/>
      <c r="RGV90" s="225"/>
      <c r="RGW90" s="220"/>
      <c r="RGX90" s="221"/>
      <c r="RGY90" s="222"/>
      <c r="RGZ90" s="222"/>
      <c r="RHA90" s="223"/>
      <c r="RHB90" s="223"/>
      <c r="RHC90" s="224"/>
      <c r="RHD90" s="223"/>
      <c r="RHE90" s="223"/>
      <c r="RHF90" s="223"/>
      <c r="RHG90" s="223"/>
      <c r="RHH90" s="225"/>
      <c r="RHI90" s="220"/>
      <c r="RHJ90" s="221"/>
      <c r="RHK90" s="222"/>
      <c r="RHL90" s="222"/>
      <c r="RHM90" s="223"/>
      <c r="RHN90" s="223"/>
      <c r="RHO90" s="224"/>
      <c r="RHP90" s="223"/>
      <c r="RHQ90" s="223"/>
      <c r="RHR90" s="223"/>
      <c r="RHS90" s="223"/>
      <c r="RHT90" s="225"/>
      <c r="RHU90" s="220"/>
      <c r="RHV90" s="221"/>
      <c r="RHW90" s="222"/>
      <c r="RHX90" s="222"/>
      <c r="RHY90" s="223"/>
      <c r="RHZ90" s="223"/>
      <c r="RIA90" s="224"/>
      <c r="RIB90" s="223"/>
      <c r="RIC90" s="223"/>
      <c r="RID90" s="223"/>
      <c r="RIE90" s="223"/>
      <c r="RIF90" s="225"/>
      <c r="RIG90" s="220"/>
      <c r="RIH90" s="221"/>
      <c r="RII90" s="222"/>
      <c r="RIJ90" s="222"/>
      <c r="RIK90" s="223"/>
      <c r="RIL90" s="223"/>
      <c r="RIM90" s="224"/>
      <c r="RIN90" s="223"/>
      <c r="RIO90" s="223"/>
      <c r="RIP90" s="223"/>
      <c r="RIQ90" s="223"/>
      <c r="RIR90" s="225"/>
      <c r="RIS90" s="220"/>
      <c r="RIT90" s="221"/>
      <c r="RIU90" s="222"/>
      <c r="RIV90" s="222"/>
      <c r="RIW90" s="223"/>
      <c r="RIX90" s="223"/>
      <c r="RIY90" s="224"/>
      <c r="RIZ90" s="223"/>
      <c r="RJA90" s="223"/>
      <c r="RJB90" s="223"/>
      <c r="RJC90" s="223"/>
      <c r="RJD90" s="225"/>
      <c r="RJE90" s="220"/>
      <c r="RJF90" s="221"/>
      <c r="RJG90" s="222"/>
      <c r="RJH90" s="222"/>
      <c r="RJI90" s="223"/>
      <c r="RJJ90" s="223"/>
      <c r="RJK90" s="224"/>
      <c r="RJL90" s="223"/>
      <c r="RJM90" s="223"/>
      <c r="RJN90" s="223"/>
      <c r="RJO90" s="223"/>
      <c r="RJP90" s="225"/>
      <c r="RJQ90" s="220"/>
      <c r="RJR90" s="221"/>
      <c r="RJS90" s="222"/>
      <c r="RJT90" s="222"/>
      <c r="RJU90" s="223"/>
      <c r="RJV90" s="223"/>
      <c r="RJW90" s="224"/>
      <c r="RJX90" s="223"/>
      <c r="RJY90" s="223"/>
      <c r="RJZ90" s="223"/>
      <c r="RKA90" s="223"/>
      <c r="RKB90" s="225"/>
      <c r="RKC90" s="220"/>
      <c r="RKD90" s="221"/>
      <c r="RKE90" s="222"/>
      <c r="RKF90" s="222"/>
      <c r="RKG90" s="223"/>
      <c r="RKH90" s="223"/>
      <c r="RKI90" s="224"/>
      <c r="RKJ90" s="223"/>
      <c r="RKK90" s="223"/>
      <c r="RKL90" s="223"/>
      <c r="RKM90" s="223"/>
      <c r="RKN90" s="225"/>
      <c r="RKO90" s="220"/>
      <c r="RKP90" s="221"/>
      <c r="RKQ90" s="222"/>
      <c r="RKR90" s="222"/>
      <c r="RKS90" s="223"/>
      <c r="RKT90" s="223"/>
      <c r="RKU90" s="224"/>
      <c r="RKV90" s="223"/>
      <c r="RKW90" s="223"/>
      <c r="RKX90" s="223"/>
      <c r="RKY90" s="223"/>
      <c r="RKZ90" s="225"/>
      <c r="RLA90" s="220"/>
      <c r="RLB90" s="221"/>
      <c r="RLC90" s="222"/>
      <c r="RLD90" s="222"/>
      <c r="RLE90" s="223"/>
      <c r="RLF90" s="223"/>
      <c r="RLG90" s="224"/>
      <c r="RLH90" s="223"/>
      <c r="RLI90" s="223"/>
      <c r="RLJ90" s="223"/>
      <c r="RLK90" s="223"/>
      <c r="RLL90" s="225"/>
      <c r="RLM90" s="220"/>
      <c r="RLN90" s="221"/>
      <c r="RLO90" s="222"/>
      <c r="RLP90" s="222"/>
      <c r="RLQ90" s="223"/>
      <c r="RLR90" s="223"/>
      <c r="RLS90" s="224"/>
      <c r="RLT90" s="223"/>
      <c r="RLU90" s="223"/>
      <c r="RLV90" s="223"/>
      <c r="RLW90" s="223"/>
      <c r="RLX90" s="225"/>
      <c r="RLY90" s="220"/>
      <c r="RLZ90" s="221"/>
      <c r="RMA90" s="222"/>
      <c r="RMB90" s="222"/>
      <c r="RMC90" s="223"/>
      <c r="RMD90" s="223"/>
      <c r="RME90" s="224"/>
      <c r="RMF90" s="223"/>
      <c r="RMG90" s="223"/>
      <c r="RMH90" s="223"/>
      <c r="RMI90" s="223"/>
      <c r="RMJ90" s="225"/>
      <c r="RMK90" s="220"/>
      <c r="RML90" s="221"/>
      <c r="RMM90" s="222"/>
      <c r="RMN90" s="222"/>
      <c r="RMO90" s="223"/>
      <c r="RMP90" s="223"/>
      <c r="RMQ90" s="224"/>
      <c r="RMR90" s="223"/>
      <c r="RMS90" s="223"/>
      <c r="RMT90" s="223"/>
      <c r="RMU90" s="223"/>
      <c r="RMV90" s="225"/>
      <c r="RMW90" s="220"/>
      <c r="RMX90" s="221"/>
      <c r="RMY90" s="222"/>
      <c r="RMZ90" s="222"/>
      <c r="RNA90" s="223"/>
      <c r="RNB90" s="223"/>
      <c r="RNC90" s="224"/>
      <c r="RND90" s="223"/>
      <c r="RNE90" s="223"/>
      <c r="RNF90" s="223"/>
      <c r="RNG90" s="223"/>
      <c r="RNH90" s="225"/>
      <c r="RNI90" s="220"/>
      <c r="RNJ90" s="221"/>
      <c r="RNK90" s="222"/>
      <c r="RNL90" s="222"/>
      <c r="RNM90" s="223"/>
      <c r="RNN90" s="223"/>
      <c r="RNO90" s="224"/>
      <c r="RNP90" s="223"/>
      <c r="RNQ90" s="223"/>
      <c r="RNR90" s="223"/>
      <c r="RNS90" s="223"/>
      <c r="RNT90" s="225"/>
      <c r="RNU90" s="220"/>
      <c r="RNV90" s="221"/>
      <c r="RNW90" s="222"/>
      <c r="RNX90" s="222"/>
      <c r="RNY90" s="223"/>
      <c r="RNZ90" s="223"/>
      <c r="ROA90" s="224"/>
      <c r="ROB90" s="223"/>
      <c r="ROC90" s="223"/>
      <c r="ROD90" s="223"/>
      <c r="ROE90" s="223"/>
      <c r="ROF90" s="225"/>
      <c r="ROG90" s="220"/>
      <c r="ROH90" s="221"/>
      <c r="ROI90" s="222"/>
      <c r="ROJ90" s="222"/>
      <c r="ROK90" s="223"/>
      <c r="ROL90" s="223"/>
      <c r="ROM90" s="224"/>
      <c r="RON90" s="223"/>
      <c r="ROO90" s="223"/>
      <c r="ROP90" s="223"/>
      <c r="ROQ90" s="223"/>
      <c r="ROR90" s="225"/>
      <c r="ROS90" s="220"/>
      <c r="ROT90" s="221"/>
      <c r="ROU90" s="222"/>
      <c r="ROV90" s="222"/>
      <c r="ROW90" s="223"/>
      <c r="ROX90" s="223"/>
      <c r="ROY90" s="224"/>
      <c r="ROZ90" s="223"/>
      <c r="RPA90" s="223"/>
      <c r="RPB90" s="223"/>
      <c r="RPC90" s="223"/>
      <c r="RPD90" s="225"/>
      <c r="RPE90" s="220"/>
      <c r="RPF90" s="221"/>
      <c r="RPG90" s="222"/>
      <c r="RPH90" s="222"/>
      <c r="RPI90" s="223"/>
      <c r="RPJ90" s="223"/>
      <c r="RPK90" s="224"/>
      <c r="RPL90" s="223"/>
      <c r="RPM90" s="223"/>
      <c r="RPN90" s="223"/>
      <c r="RPO90" s="223"/>
      <c r="RPP90" s="225"/>
      <c r="RPQ90" s="220"/>
      <c r="RPR90" s="221"/>
      <c r="RPS90" s="222"/>
      <c r="RPT90" s="222"/>
      <c r="RPU90" s="223"/>
      <c r="RPV90" s="223"/>
      <c r="RPW90" s="224"/>
      <c r="RPX90" s="223"/>
      <c r="RPY90" s="223"/>
      <c r="RPZ90" s="223"/>
      <c r="RQA90" s="223"/>
      <c r="RQB90" s="225"/>
      <c r="RQC90" s="220"/>
      <c r="RQD90" s="221"/>
      <c r="RQE90" s="222"/>
      <c r="RQF90" s="222"/>
      <c r="RQG90" s="223"/>
      <c r="RQH90" s="223"/>
      <c r="RQI90" s="224"/>
      <c r="RQJ90" s="223"/>
      <c r="RQK90" s="223"/>
      <c r="RQL90" s="223"/>
      <c r="RQM90" s="223"/>
      <c r="RQN90" s="225"/>
      <c r="RQO90" s="220"/>
      <c r="RQP90" s="221"/>
      <c r="RQQ90" s="222"/>
      <c r="RQR90" s="222"/>
      <c r="RQS90" s="223"/>
      <c r="RQT90" s="223"/>
      <c r="RQU90" s="224"/>
      <c r="RQV90" s="223"/>
      <c r="RQW90" s="223"/>
      <c r="RQX90" s="223"/>
      <c r="RQY90" s="223"/>
      <c r="RQZ90" s="225"/>
      <c r="RRA90" s="220"/>
      <c r="RRB90" s="221"/>
      <c r="RRC90" s="222"/>
      <c r="RRD90" s="222"/>
      <c r="RRE90" s="223"/>
      <c r="RRF90" s="223"/>
      <c r="RRG90" s="224"/>
      <c r="RRH90" s="223"/>
      <c r="RRI90" s="223"/>
      <c r="RRJ90" s="223"/>
      <c r="RRK90" s="223"/>
      <c r="RRL90" s="225"/>
      <c r="RRM90" s="220"/>
      <c r="RRN90" s="221"/>
      <c r="RRO90" s="222"/>
      <c r="RRP90" s="222"/>
      <c r="RRQ90" s="223"/>
      <c r="RRR90" s="223"/>
      <c r="RRS90" s="224"/>
      <c r="RRT90" s="223"/>
      <c r="RRU90" s="223"/>
      <c r="RRV90" s="223"/>
      <c r="RRW90" s="223"/>
      <c r="RRX90" s="225"/>
      <c r="RRY90" s="220"/>
      <c r="RRZ90" s="221"/>
      <c r="RSA90" s="222"/>
      <c r="RSB90" s="222"/>
      <c r="RSC90" s="223"/>
      <c r="RSD90" s="223"/>
      <c r="RSE90" s="224"/>
      <c r="RSF90" s="223"/>
      <c r="RSG90" s="223"/>
      <c r="RSH90" s="223"/>
      <c r="RSI90" s="223"/>
      <c r="RSJ90" s="225"/>
      <c r="RSK90" s="220"/>
      <c r="RSL90" s="221"/>
      <c r="RSM90" s="222"/>
      <c r="RSN90" s="222"/>
      <c r="RSO90" s="223"/>
      <c r="RSP90" s="223"/>
      <c r="RSQ90" s="224"/>
      <c r="RSR90" s="223"/>
      <c r="RSS90" s="223"/>
      <c r="RST90" s="223"/>
      <c r="RSU90" s="223"/>
      <c r="RSV90" s="225"/>
      <c r="RSW90" s="220"/>
      <c r="RSX90" s="221"/>
      <c r="RSY90" s="222"/>
      <c r="RSZ90" s="222"/>
      <c r="RTA90" s="223"/>
      <c r="RTB90" s="223"/>
      <c r="RTC90" s="224"/>
      <c r="RTD90" s="223"/>
      <c r="RTE90" s="223"/>
      <c r="RTF90" s="223"/>
      <c r="RTG90" s="223"/>
      <c r="RTH90" s="225"/>
      <c r="RTI90" s="220"/>
      <c r="RTJ90" s="221"/>
      <c r="RTK90" s="222"/>
      <c r="RTL90" s="222"/>
      <c r="RTM90" s="223"/>
      <c r="RTN90" s="223"/>
      <c r="RTO90" s="224"/>
      <c r="RTP90" s="223"/>
      <c r="RTQ90" s="223"/>
      <c r="RTR90" s="223"/>
      <c r="RTS90" s="223"/>
      <c r="RTT90" s="225"/>
      <c r="RTU90" s="220"/>
      <c r="RTV90" s="221"/>
      <c r="RTW90" s="222"/>
      <c r="RTX90" s="222"/>
      <c r="RTY90" s="223"/>
      <c r="RTZ90" s="223"/>
      <c r="RUA90" s="224"/>
      <c r="RUB90" s="223"/>
      <c r="RUC90" s="223"/>
      <c r="RUD90" s="223"/>
      <c r="RUE90" s="223"/>
      <c r="RUF90" s="225"/>
      <c r="RUG90" s="220"/>
      <c r="RUH90" s="221"/>
      <c r="RUI90" s="222"/>
      <c r="RUJ90" s="222"/>
      <c r="RUK90" s="223"/>
      <c r="RUL90" s="223"/>
      <c r="RUM90" s="224"/>
      <c r="RUN90" s="223"/>
      <c r="RUO90" s="223"/>
      <c r="RUP90" s="223"/>
      <c r="RUQ90" s="223"/>
      <c r="RUR90" s="225"/>
      <c r="RUS90" s="220"/>
      <c r="RUT90" s="221"/>
      <c r="RUU90" s="222"/>
      <c r="RUV90" s="222"/>
      <c r="RUW90" s="223"/>
      <c r="RUX90" s="223"/>
      <c r="RUY90" s="224"/>
      <c r="RUZ90" s="223"/>
      <c r="RVA90" s="223"/>
      <c r="RVB90" s="223"/>
      <c r="RVC90" s="223"/>
      <c r="RVD90" s="225"/>
      <c r="RVE90" s="220"/>
      <c r="RVF90" s="221"/>
      <c r="RVG90" s="222"/>
      <c r="RVH90" s="222"/>
      <c r="RVI90" s="223"/>
      <c r="RVJ90" s="223"/>
      <c r="RVK90" s="224"/>
      <c r="RVL90" s="223"/>
      <c r="RVM90" s="223"/>
      <c r="RVN90" s="223"/>
      <c r="RVO90" s="223"/>
      <c r="RVP90" s="225"/>
      <c r="RVQ90" s="220"/>
      <c r="RVR90" s="221"/>
      <c r="RVS90" s="222"/>
      <c r="RVT90" s="222"/>
      <c r="RVU90" s="223"/>
      <c r="RVV90" s="223"/>
      <c r="RVW90" s="224"/>
      <c r="RVX90" s="223"/>
      <c r="RVY90" s="223"/>
      <c r="RVZ90" s="223"/>
      <c r="RWA90" s="223"/>
      <c r="RWB90" s="225"/>
      <c r="RWC90" s="220"/>
      <c r="RWD90" s="221"/>
      <c r="RWE90" s="222"/>
      <c r="RWF90" s="222"/>
      <c r="RWG90" s="223"/>
      <c r="RWH90" s="223"/>
      <c r="RWI90" s="224"/>
      <c r="RWJ90" s="223"/>
      <c r="RWK90" s="223"/>
      <c r="RWL90" s="223"/>
      <c r="RWM90" s="223"/>
      <c r="RWN90" s="225"/>
      <c r="RWO90" s="220"/>
      <c r="RWP90" s="221"/>
      <c r="RWQ90" s="222"/>
      <c r="RWR90" s="222"/>
      <c r="RWS90" s="223"/>
      <c r="RWT90" s="223"/>
      <c r="RWU90" s="224"/>
      <c r="RWV90" s="223"/>
      <c r="RWW90" s="223"/>
      <c r="RWX90" s="223"/>
      <c r="RWY90" s="223"/>
      <c r="RWZ90" s="225"/>
      <c r="RXA90" s="220"/>
      <c r="RXB90" s="221"/>
      <c r="RXC90" s="222"/>
      <c r="RXD90" s="222"/>
      <c r="RXE90" s="223"/>
      <c r="RXF90" s="223"/>
      <c r="RXG90" s="224"/>
      <c r="RXH90" s="223"/>
      <c r="RXI90" s="223"/>
      <c r="RXJ90" s="223"/>
      <c r="RXK90" s="223"/>
      <c r="RXL90" s="225"/>
      <c r="RXM90" s="220"/>
      <c r="RXN90" s="221"/>
      <c r="RXO90" s="222"/>
      <c r="RXP90" s="222"/>
      <c r="RXQ90" s="223"/>
      <c r="RXR90" s="223"/>
      <c r="RXS90" s="224"/>
      <c r="RXT90" s="223"/>
      <c r="RXU90" s="223"/>
      <c r="RXV90" s="223"/>
      <c r="RXW90" s="223"/>
      <c r="RXX90" s="225"/>
      <c r="RXY90" s="220"/>
      <c r="RXZ90" s="221"/>
      <c r="RYA90" s="222"/>
      <c r="RYB90" s="222"/>
      <c r="RYC90" s="223"/>
      <c r="RYD90" s="223"/>
      <c r="RYE90" s="224"/>
      <c r="RYF90" s="223"/>
      <c r="RYG90" s="223"/>
      <c r="RYH90" s="223"/>
      <c r="RYI90" s="223"/>
      <c r="RYJ90" s="225"/>
      <c r="RYK90" s="220"/>
      <c r="RYL90" s="221"/>
      <c r="RYM90" s="222"/>
      <c r="RYN90" s="222"/>
      <c r="RYO90" s="223"/>
      <c r="RYP90" s="223"/>
      <c r="RYQ90" s="224"/>
      <c r="RYR90" s="223"/>
      <c r="RYS90" s="223"/>
      <c r="RYT90" s="223"/>
      <c r="RYU90" s="223"/>
      <c r="RYV90" s="225"/>
      <c r="RYW90" s="220"/>
      <c r="RYX90" s="221"/>
      <c r="RYY90" s="222"/>
      <c r="RYZ90" s="222"/>
      <c r="RZA90" s="223"/>
      <c r="RZB90" s="223"/>
      <c r="RZC90" s="224"/>
      <c r="RZD90" s="223"/>
      <c r="RZE90" s="223"/>
      <c r="RZF90" s="223"/>
      <c r="RZG90" s="223"/>
      <c r="RZH90" s="225"/>
      <c r="RZI90" s="220"/>
      <c r="RZJ90" s="221"/>
      <c r="RZK90" s="222"/>
      <c r="RZL90" s="222"/>
      <c r="RZM90" s="223"/>
      <c r="RZN90" s="223"/>
      <c r="RZO90" s="224"/>
      <c r="RZP90" s="223"/>
      <c r="RZQ90" s="223"/>
      <c r="RZR90" s="223"/>
      <c r="RZS90" s="223"/>
      <c r="RZT90" s="225"/>
      <c r="RZU90" s="220"/>
      <c r="RZV90" s="221"/>
      <c r="RZW90" s="222"/>
      <c r="RZX90" s="222"/>
      <c r="RZY90" s="223"/>
      <c r="RZZ90" s="223"/>
      <c r="SAA90" s="224"/>
      <c r="SAB90" s="223"/>
      <c r="SAC90" s="223"/>
      <c r="SAD90" s="223"/>
      <c r="SAE90" s="223"/>
      <c r="SAF90" s="225"/>
      <c r="SAG90" s="220"/>
      <c r="SAH90" s="221"/>
      <c r="SAI90" s="222"/>
      <c r="SAJ90" s="222"/>
      <c r="SAK90" s="223"/>
      <c r="SAL90" s="223"/>
      <c r="SAM90" s="224"/>
      <c r="SAN90" s="223"/>
      <c r="SAO90" s="223"/>
      <c r="SAP90" s="223"/>
      <c r="SAQ90" s="223"/>
      <c r="SAR90" s="225"/>
      <c r="SAS90" s="220"/>
      <c r="SAT90" s="221"/>
      <c r="SAU90" s="222"/>
      <c r="SAV90" s="222"/>
      <c r="SAW90" s="223"/>
      <c r="SAX90" s="223"/>
      <c r="SAY90" s="224"/>
      <c r="SAZ90" s="223"/>
      <c r="SBA90" s="223"/>
      <c r="SBB90" s="223"/>
      <c r="SBC90" s="223"/>
      <c r="SBD90" s="225"/>
      <c r="SBE90" s="220"/>
      <c r="SBF90" s="221"/>
      <c r="SBG90" s="222"/>
      <c r="SBH90" s="222"/>
      <c r="SBI90" s="223"/>
      <c r="SBJ90" s="223"/>
      <c r="SBK90" s="224"/>
      <c r="SBL90" s="223"/>
      <c r="SBM90" s="223"/>
      <c r="SBN90" s="223"/>
      <c r="SBO90" s="223"/>
      <c r="SBP90" s="225"/>
      <c r="SBQ90" s="220"/>
      <c r="SBR90" s="221"/>
      <c r="SBS90" s="222"/>
      <c r="SBT90" s="222"/>
      <c r="SBU90" s="223"/>
      <c r="SBV90" s="223"/>
      <c r="SBW90" s="224"/>
      <c r="SBX90" s="223"/>
      <c r="SBY90" s="223"/>
      <c r="SBZ90" s="223"/>
      <c r="SCA90" s="223"/>
      <c r="SCB90" s="225"/>
      <c r="SCC90" s="220"/>
      <c r="SCD90" s="221"/>
      <c r="SCE90" s="222"/>
      <c r="SCF90" s="222"/>
      <c r="SCG90" s="223"/>
      <c r="SCH90" s="223"/>
      <c r="SCI90" s="224"/>
      <c r="SCJ90" s="223"/>
      <c r="SCK90" s="223"/>
      <c r="SCL90" s="223"/>
      <c r="SCM90" s="223"/>
      <c r="SCN90" s="225"/>
      <c r="SCO90" s="220"/>
      <c r="SCP90" s="221"/>
      <c r="SCQ90" s="222"/>
      <c r="SCR90" s="222"/>
      <c r="SCS90" s="223"/>
      <c r="SCT90" s="223"/>
      <c r="SCU90" s="224"/>
      <c r="SCV90" s="223"/>
      <c r="SCW90" s="223"/>
      <c r="SCX90" s="223"/>
      <c r="SCY90" s="223"/>
      <c r="SCZ90" s="225"/>
      <c r="SDA90" s="220"/>
      <c r="SDB90" s="221"/>
      <c r="SDC90" s="222"/>
      <c r="SDD90" s="222"/>
      <c r="SDE90" s="223"/>
      <c r="SDF90" s="223"/>
      <c r="SDG90" s="224"/>
      <c r="SDH90" s="223"/>
      <c r="SDI90" s="223"/>
      <c r="SDJ90" s="223"/>
      <c r="SDK90" s="223"/>
      <c r="SDL90" s="225"/>
      <c r="SDM90" s="220"/>
      <c r="SDN90" s="221"/>
      <c r="SDO90" s="222"/>
      <c r="SDP90" s="222"/>
      <c r="SDQ90" s="223"/>
      <c r="SDR90" s="223"/>
      <c r="SDS90" s="224"/>
      <c r="SDT90" s="223"/>
      <c r="SDU90" s="223"/>
      <c r="SDV90" s="223"/>
      <c r="SDW90" s="223"/>
      <c r="SDX90" s="225"/>
      <c r="SDY90" s="220"/>
      <c r="SDZ90" s="221"/>
      <c r="SEA90" s="222"/>
      <c r="SEB90" s="222"/>
      <c r="SEC90" s="223"/>
      <c r="SED90" s="223"/>
      <c r="SEE90" s="224"/>
      <c r="SEF90" s="223"/>
      <c r="SEG90" s="223"/>
      <c r="SEH90" s="223"/>
      <c r="SEI90" s="223"/>
      <c r="SEJ90" s="225"/>
      <c r="SEK90" s="220"/>
      <c r="SEL90" s="221"/>
      <c r="SEM90" s="222"/>
      <c r="SEN90" s="222"/>
      <c r="SEO90" s="223"/>
      <c r="SEP90" s="223"/>
      <c r="SEQ90" s="224"/>
      <c r="SER90" s="223"/>
      <c r="SES90" s="223"/>
      <c r="SET90" s="223"/>
      <c r="SEU90" s="223"/>
      <c r="SEV90" s="225"/>
      <c r="SEW90" s="220"/>
      <c r="SEX90" s="221"/>
      <c r="SEY90" s="222"/>
      <c r="SEZ90" s="222"/>
      <c r="SFA90" s="223"/>
      <c r="SFB90" s="223"/>
      <c r="SFC90" s="224"/>
      <c r="SFD90" s="223"/>
      <c r="SFE90" s="223"/>
      <c r="SFF90" s="223"/>
      <c r="SFG90" s="223"/>
      <c r="SFH90" s="225"/>
      <c r="SFI90" s="220"/>
      <c r="SFJ90" s="221"/>
      <c r="SFK90" s="222"/>
      <c r="SFL90" s="222"/>
      <c r="SFM90" s="223"/>
      <c r="SFN90" s="223"/>
      <c r="SFO90" s="224"/>
      <c r="SFP90" s="223"/>
      <c r="SFQ90" s="223"/>
      <c r="SFR90" s="223"/>
      <c r="SFS90" s="223"/>
      <c r="SFT90" s="225"/>
      <c r="SFU90" s="220"/>
      <c r="SFV90" s="221"/>
      <c r="SFW90" s="222"/>
      <c r="SFX90" s="222"/>
      <c r="SFY90" s="223"/>
      <c r="SFZ90" s="223"/>
      <c r="SGA90" s="224"/>
      <c r="SGB90" s="223"/>
      <c r="SGC90" s="223"/>
      <c r="SGD90" s="223"/>
      <c r="SGE90" s="223"/>
      <c r="SGF90" s="225"/>
      <c r="SGG90" s="220"/>
      <c r="SGH90" s="221"/>
      <c r="SGI90" s="222"/>
      <c r="SGJ90" s="222"/>
      <c r="SGK90" s="223"/>
      <c r="SGL90" s="223"/>
      <c r="SGM90" s="224"/>
      <c r="SGN90" s="223"/>
      <c r="SGO90" s="223"/>
      <c r="SGP90" s="223"/>
      <c r="SGQ90" s="223"/>
      <c r="SGR90" s="225"/>
      <c r="SGS90" s="220"/>
      <c r="SGT90" s="221"/>
      <c r="SGU90" s="222"/>
      <c r="SGV90" s="222"/>
      <c r="SGW90" s="223"/>
      <c r="SGX90" s="223"/>
      <c r="SGY90" s="224"/>
      <c r="SGZ90" s="223"/>
      <c r="SHA90" s="223"/>
      <c r="SHB90" s="223"/>
      <c r="SHC90" s="223"/>
      <c r="SHD90" s="225"/>
      <c r="SHE90" s="220"/>
      <c r="SHF90" s="221"/>
      <c r="SHG90" s="222"/>
      <c r="SHH90" s="222"/>
      <c r="SHI90" s="223"/>
      <c r="SHJ90" s="223"/>
      <c r="SHK90" s="224"/>
      <c r="SHL90" s="223"/>
      <c r="SHM90" s="223"/>
      <c r="SHN90" s="223"/>
      <c r="SHO90" s="223"/>
      <c r="SHP90" s="225"/>
      <c r="SHQ90" s="220"/>
      <c r="SHR90" s="221"/>
      <c r="SHS90" s="222"/>
      <c r="SHT90" s="222"/>
      <c r="SHU90" s="223"/>
      <c r="SHV90" s="223"/>
      <c r="SHW90" s="224"/>
      <c r="SHX90" s="223"/>
      <c r="SHY90" s="223"/>
      <c r="SHZ90" s="223"/>
      <c r="SIA90" s="223"/>
      <c r="SIB90" s="225"/>
      <c r="SIC90" s="220"/>
      <c r="SID90" s="221"/>
      <c r="SIE90" s="222"/>
      <c r="SIF90" s="222"/>
      <c r="SIG90" s="223"/>
      <c r="SIH90" s="223"/>
      <c r="SII90" s="224"/>
      <c r="SIJ90" s="223"/>
      <c r="SIK90" s="223"/>
      <c r="SIL90" s="223"/>
      <c r="SIM90" s="223"/>
      <c r="SIN90" s="225"/>
      <c r="SIO90" s="220"/>
      <c r="SIP90" s="221"/>
      <c r="SIQ90" s="222"/>
      <c r="SIR90" s="222"/>
      <c r="SIS90" s="223"/>
      <c r="SIT90" s="223"/>
      <c r="SIU90" s="224"/>
      <c r="SIV90" s="223"/>
      <c r="SIW90" s="223"/>
      <c r="SIX90" s="223"/>
      <c r="SIY90" s="223"/>
      <c r="SIZ90" s="225"/>
      <c r="SJA90" s="220"/>
      <c r="SJB90" s="221"/>
      <c r="SJC90" s="222"/>
      <c r="SJD90" s="222"/>
      <c r="SJE90" s="223"/>
      <c r="SJF90" s="223"/>
      <c r="SJG90" s="224"/>
      <c r="SJH90" s="223"/>
      <c r="SJI90" s="223"/>
      <c r="SJJ90" s="223"/>
      <c r="SJK90" s="223"/>
      <c r="SJL90" s="225"/>
      <c r="SJM90" s="220"/>
      <c r="SJN90" s="221"/>
      <c r="SJO90" s="222"/>
      <c r="SJP90" s="222"/>
      <c r="SJQ90" s="223"/>
      <c r="SJR90" s="223"/>
      <c r="SJS90" s="224"/>
      <c r="SJT90" s="223"/>
      <c r="SJU90" s="223"/>
      <c r="SJV90" s="223"/>
      <c r="SJW90" s="223"/>
      <c r="SJX90" s="225"/>
      <c r="SJY90" s="220"/>
      <c r="SJZ90" s="221"/>
      <c r="SKA90" s="222"/>
      <c r="SKB90" s="222"/>
      <c r="SKC90" s="223"/>
      <c r="SKD90" s="223"/>
      <c r="SKE90" s="224"/>
      <c r="SKF90" s="223"/>
      <c r="SKG90" s="223"/>
      <c r="SKH90" s="223"/>
      <c r="SKI90" s="223"/>
      <c r="SKJ90" s="225"/>
      <c r="SKK90" s="220"/>
      <c r="SKL90" s="221"/>
      <c r="SKM90" s="222"/>
      <c r="SKN90" s="222"/>
      <c r="SKO90" s="223"/>
      <c r="SKP90" s="223"/>
      <c r="SKQ90" s="224"/>
      <c r="SKR90" s="223"/>
      <c r="SKS90" s="223"/>
      <c r="SKT90" s="223"/>
      <c r="SKU90" s="223"/>
      <c r="SKV90" s="225"/>
      <c r="SKW90" s="220"/>
      <c r="SKX90" s="221"/>
      <c r="SKY90" s="222"/>
      <c r="SKZ90" s="222"/>
      <c r="SLA90" s="223"/>
      <c r="SLB90" s="223"/>
      <c r="SLC90" s="224"/>
      <c r="SLD90" s="223"/>
      <c r="SLE90" s="223"/>
      <c r="SLF90" s="223"/>
      <c r="SLG90" s="223"/>
      <c r="SLH90" s="225"/>
      <c r="SLI90" s="220"/>
      <c r="SLJ90" s="221"/>
      <c r="SLK90" s="222"/>
      <c r="SLL90" s="222"/>
      <c r="SLM90" s="223"/>
      <c r="SLN90" s="223"/>
      <c r="SLO90" s="224"/>
      <c r="SLP90" s="223"/>
      <c r="SLQ90" s="223"/>
      <c r="SLR90" s="223"/>
      <c r="SLS90" s="223"/>
      <c r="SLT90" s="225"/>
      <c r="SLU90" s="220"/>
      <c r="SLV90" s="221"/>
      <c r="SLW90" s="222"/>
      <c r="SLX90" s="222"/>
      <c r="SLY90" s="223"/>
      <c r="SLZ90" s="223"/>
      <c r="SMA90" s="224"/>
      <c r="SMB90" s="223"/>
      <c r="SMC90" s="223"/>
      <c r="SMD90" s="223"/>
      <c r="SME90" s="223"/>
      <c r="SMF90" s="225"/>
      <c r="SMG90" s="220"/>
      <c r="SMH90" s="221"/>
      <c r="SMI90" s="222"/>
      <c r="SMJ90" s="222"/>
      <c r="SMK90" s="223"/>
      <c r="SML90" s="223"/>
      <c r="SMM90" s="224"/>
      <c r="SMN90" s="223"/>
      <c r="SMO90" s="223"/>
      <c r="SMP90" s="223"/>
      <c r="SMQ90" s="223"/>
      <c r="SMR90" s="225"/>
      <c r="SMS90" s="220"/>
      <c r="SMT90" s="221"/>
      <c r="SMU90" s="222"/>
      <c r="SMV90" s="222"/>
      <c r="SMW90" s="223"/>
      <c r="SMX90" s="223"/>
      <c r="SMY90" s="224"/>
      <c r="SMZ90" s="223"/>
      <c r="SNA90" s="223"/>
      <c r="SNB90" s="223"/>
      <c r="SNC90" s="223"/>
      <c r="SND90" s="225"/>
      <c r="SNE90" s="220"/>
      <c r="SNF90" s="221"/>
      <c r="SNG90" s="222"/>
      <c r="SNH90" s="222"/>
      <c r="SNI90" s="223"/>
      <c r="SNJ90" s="223"/>
      <c r="SNK90" s="224"/>
      <c r="SNL90" s="223"/>
      <c r="SNM90" s="223"/>
      <c r="SNN90" s="223"/>
      <c r="SNO90" s="223"/>
      <c r="SNP90" s="225"/>
      <c r="SNQ90" s="220"/>
      <c r="SNR90" s="221"/>
      <c r="SNS90" s="222"/>
      <c r="SNT90" s="222"/>
      <c r="SNU90" s="223"/>
      <c r="SNV90" s="223"/>
      <c r="SNW90" s="224"/>
      <c r="SNX90" s="223"/>
      <c r="SNY90" s="223"/>
      <c r="SNZ90" s="223"/>
      <c r="SOA90" s="223"/>
      <c r="SOB90" s="225"/>
      <c r="SOC90" s="220"/>
      <c r="SOD90" s="221"/>
      <c r="SOE90" s="222"/>
      <c r="SOF90" s="222"/>
      <c r="SOG90" s="223"/>
      <c r="SOH90" s="223"/>
      <c r="SOI90" s="224"/>
      <c r="SOJ90" s="223"/>
      <c r="SOK90" s="223"/>
      <c r="SOL90" s="223"/>
      <c r="SOM90" s="223"/>
      <c r="SON90" s="225"/>
      <c r="SOO90" s="220"/>
      <c r="SOP90" s="221"/>
      <c r="SOQ90" s="222"/>
      <c r="SOR90" s="222"/>
      <c r="SOS90" s="223"/>
      <c r="SOT90" s="223"/>
      <c r="SOU90" s="224"/>
      <c r="SOV90" s="223"/>
      <c r="SOW90" s="223"/>
      <c r="SOX90" s="223"/>
      <c r="SOY90" s="223"/>
      <c r="SOZ90" s="225"/>
      <c r="SPA90" s="220"/>
      <c r="SPB90" s="221"/>
      <c r="SPC90" s="222"/>
      <c r="SPD90" s="222"/>
      <c r="SPE90" s="223"/>
      <c r="SPF90" s="223"/>
      <c r="SPG90" s="224"/>
      <c r="SPH90" s="223"/>
      <c r="SPI90" s="223"/>
      <c r="SPJ90" s="223"/>
      <c r="SPK90" s="223"/>
      <c r="SPL90" s="225"/>
      <c r="SPM90" s="220"/>
      <c r="SPN90" s="221"/>
      <c r="SPO90" s="222"/>
      <c r="SPP90" s="222"/>
      <c r="SPQ90" s="223"/>
      <c r="SPR90" s="223"/>
      <c r="SPS90" s="224"/>
      <c r="SPT90" s="223"/>
      <c r="SPU90" s="223"/>
      <c r="SPV90" s="223"/>
      <c r="SPW90" s="223"/>
      <c r="SPX90" s="225"/>
      <c r="SPY90" s="220"/>
      <c r="SPZ90" s="221"/>
      <c r="SQA90" s="222"/>
      <c r="SQB90" s="222"/>
      <c r="SQC90" s="223"/>
      <c r="SQD90" s="223"/>
      <c r="SQE90" s="224"/>
      <c r="SQF90" s="223"/>
      <c r="SQG90" s="223"/>
      <c r="SQH90" s="223"/>
      <c r="SQI90" s="223"/>
      <c r="SQJ90" s="225"/>
      <c r="SQK90" s="220"/>
      <c r="SQL90" s="221"/>
      <c r="SQM90" s="222"/>
      <c r="SQN90" s="222"/>
      <c r="SQO90" s="223"/>
      <c r="SQP90" s="223"/>
      <c r="SQQ90" s="224"/>
      <c r="SQR90" s="223"/>
      <c r="SQS90" s="223"/>
      <c r="SQT90" s="223"/>
      <c r="SQU90" s="223"/>
      <c r="SQV90" s="225"/>
      <c r="SQW90" s="220"/>
      <c r="SQX90" s="221"/>
      <c r="SQY90" s="222"/>
      <c r="SQZ90" s="222"/>
      <c r="SRA90" s="223"/>
      <c r="SRB90" s="223"/>
      <c r="SRC90" s="224"/>
      <c r="SRD90" s="223"/>
      <c r="SRE90" s="223"/>
      <c r="SRF90" s="223"/>
      <c r="SRG90" s="223"/>
      <c r="SRH90" s="225"/>
      <c r="SRI90" s="220"/>
      <c r="SRJ90" s="221"/>
      <c r="SRK90" s="222"/>
      <c r="SRL90" s="222"/>
      <c r="SRM90" s="223"/>
      <c r="SRN90" s="223"/>
      <c r="SRO90" s="224"/>
      <c r="SRP90" s="223"/>
      <c r="SRQ90" s="223"/>
      <c r="SRR90" s="223"/>
      <c r="SRS90" s="223"/>
      <c r="SRT90" s="225"/>
      <c r="SRU90" s="220"/>
      <c r="SRV90" s="221"/>
      <c r="SRW90" s="222"/>
      <c r="SRX90" s="222"/>
      <c r="SRY90" s="223"/>
      <c r="SRZ90" s="223"/>
      <c r="SSA90" s="224"/>
      <c r="SSB90" s="223"/>
      <c r="SSC90" s="223"/>
      <c r="SSD90" s="223"/>
      <c r="SSE90" s="223"/>
      <c r="SSF90" s="225"/>
      <c r="SSG90" s="220"/>
      <c r="SSH90" s="221"/>
      <c r="SSI90" s="222"/>
      <c r="SSJ90" s="222"/>
      <c r="SSK90" s="223"/>
      <c r="SSL90" s="223"/>
      <c r="SSM90" s="224"/>
      <c r="SSN90" s="223"/>
      <c r="SSO90" s="223"/>
      <c r="SSP90" s="223"/>
      <c r="SSQ90" s="223"/>
      <c r="SSR90" s="225"/>
      <c r="SSS90" s="220"/>
      <c r="SST90" s="221"/>
      <c r="SSU90" s="222"/>
      <c r="SSV90" s="222"/>
      <c r="SSW90" s="223"/>
      <c r="SSX90" s="223"/>
      <c r="SSY90" s="224"/>
      <c r="SSZ90" s="223"/>
      <c r="STA90" s="223"/>
      <c r="STB90" s="223"/>
      <c r="STC90" s="223"/>
      <c r="STD90" s="225"/>
      <c r="STE90" s="220"/>
      <c r="STF90" s="221"/>
      <c r="STG90" s="222"/>
      <c r="STH90" s="222"/>
      <c r="STI90" s="223"/>
      <c r="STJ90" s="223"/>
      <c r="STK90" s="224"/>
      <c r="STL90" s="223"/>
      <c r="STM90" s="223"/>
      <c r="STN90" s="223"/>
      <c r="STO90" s="223"/>
      <c r="STP90" s="225"/>
      <c r="STQ90" s="220"/>
      <c r="STR90" s="221"/>
      <c r="STS90" s="222"/>
      <c r="STT90" s="222"/>
      <c r="STU90" s="223"/>
      <c r="STV90" s="223"/>
      <c r="STW90" s="224"/>
      <c r="STX90" s="223"/>
      <c r="STY90" s="223"/>
      <c r="STZ90" s="223"/>
      <c r="SUA90" s="223"/>
      <c r="SUB90" s="225"/>
      <c r="SUC90" s="220"/>
      <c r="SUD90" s="221"/>
      <c r="SUE90" s="222"/>
      <c r="SUF90" s="222"/>
      <c r="SUG90" s="223"/>
      <c r="SUH90" s="223"/>
      <c r="SUI90" s="224"/>
      <c r="SUJ90" s="223"/>
      <c r="SUK90" s="223"/>
      <c r="SUL90" s="223"/>
      <c r="SUM90" s="223"/>
      <c r="SUN90" s="225"/>
      <c r="SUO90" s="220"/>
      <c r="SUP90" s="221"/>
      <c r="SUQ90" s="222"/>
      <c r="SUR90" s="222"/>
      <c r="SUS90" s="223"/>
      <c r="SUT90" s="223"/>
      <c r="SUU90" s="224"/>
      <c r="SUV90" s="223"/>
      <c r="SUW90" s="223"/>
      <c r="SUX90" s="223"/>
      <c r="SUY90" s="223"/>
      <c r="SUZ90" s="225"/>
      <c r="SVA90" s="220"/>
      <c r="SVB90" s="221"/>
      <c r="SVC90" s="222"/>
      <c r="SVD90" s="222"/>
      <c r="SVE90" s="223"/>
      <c r="SVF90" s="223"/>
      <c r="SVG90" s="224"/>
      <c r="SVH90" s="223"/>
      <c r="SVI90" s="223"/>
      <c r="SVJ90" s="223"/>
      <c r="SVK90" s="223"/>
      <c r="SVL90" s="225"/>
      <c r="SVM90" s="220"/>
      <c r="SVN90" s="221"/>
      <c r="SVO90" s="222"/>
      <c r="SVP90" s="222"/>
      <c r="SVQ90" s="223"/>
      <c r="SVR90" s="223"/>
      <c r="SVS90" s="224"/>
      <c r="SVT90" s="223"/>
      <c r="SVU90" s="223"/>
      <c r="SVV90" s="223"/>
      <c r="SVW90" s="223"/>
      <c r="SVX90" s="225"/>
      <c r="SVY90" s="220"/>
      <c r="SVZ90" s="221"/>
      <c r="SWA90" s="222"/>
      <c r="SWB90" s="222"/>
      <c r="SWC90" s="223"/>
      <c r="SWD90" s="223"/>
      <c r="SWE90" s="224"/>
      <c r="SWF90" s="223"/>
      <c r="SWG90" s="223"/>
      <c r="SWH90" s="223"/>
      <c r="SWI90" s="223"/>
      <c r="SWJ90" s="225"/>
      <c r="SWK90" s="220"/>
      <c r="SWL90" s="221"/>
      <c r="SWM90" s="222"/>
      <c r="SWN90" s="222"/>
      <c r="SWO90" s="223"/>
      <c r="SWP90" s="223"/>
      <c r="SWQ90" s="224"/>
      <c r="SWR90" s="223"/>
      <c r="SWS90" s="223"/>
      <c r="SWT90" s="223"/>
      <c r="SWU90" s="223"/>
      <c r="SWV90" s="225"/>
      <c r="SWW90" s="220"/>
      <c r="SWX90" s="221"/>
      <c r="SWY90" s="222"/>
      <c r="SWZ90" s="222"/>
      <c r="SXA90" s="223"/>
      <c r="SXB90" s="223"/>
      <c r="SXC90" s="224"/>
      <c r="SXD90" s="223"/>
      <c r="SXE90" s="223"/>
      <c r="SXF90" s="223"/>
      <c r="SXG90" s="223"/>
      <c r="SXH90" s="225"/>
      <c r="SXI90" s="220"/>
      <c r="SXJ90" s="221"/>
      <c r="SXK90" s="222"/>
      <c r="SXL90" s="222"/>
      <c r="SXM90" s="223"/>
      <c r="SXN90" s="223"/>
      <c r="SXO90" s="224"/>
      <c r="SXP90" s="223"/>
      <c r="SXQ90" s="223"/>
      <c r="SXR90" s="223"/>
      <c r="SXS90" s="223"/>
      <c r="SXT90" s="225"/>
      <c r="SXU90" s="220"/>
      <c r="SXV90" s="221"/>
      <c r="SXW90" s="222"/>
      <c r="SXX90" s="222"/>
      <c r="SXY90" s="223"/>
      <c r="SXZ90" s="223"/>
      <c r="SYA90" s="224"/>
      <c r="SYB90" s="223"/>
      <c r="SYC90" s="223"/>
      <c r="SYD90" s="223"/>
      <c r="SYE90" s="223"/>
      <c r="SYF90" s="225"/>
      <c r="SYG90" s="220"/>
      <c r="SYH90" s="221"/>
      <c r="SYI90" s="222"/>
      <c r="SYJ90" s="222"/>
      <c r="SYK90" s="223"/>
      <c r="SYL90" s="223"/>
      <c r="SYM90" s="224"/>
      <c r="SYN90" s="223"/>
      <c r="SYO90" s="223"/>
      <c r="SYP90" s="223"/>
      <c r="SYQ90" s="223"/>
      <c r="SYR90" s="225"/>
      <c r="SYS90" s="220"/>
      <c r="SYT90" s="221"/>
      <c r="SYU90" s="222"/>
      <c r="SYV90" s="222"/>
      <c r="SYW90" s="223"/>
      <c r="SYX90" s="223"/>
      <c r="SYY90" s="224"/>
      <c r="SYZ90" s="223"/>
      <c r="SZA90" s="223"/>
      <c r="SZB90" s="223"/>
      <c r="SZC90" s="223"/>
      <c r="SZD90" s="225"/>
      <c r="SZE90" s="220"/>
      <c r="SZF90" s="221"/>
      <c r="SZG90" s="222"/>
      <c r="SZH90" s="222"/>
      <c r="SZI90" s="223"/>
      <c r="SZJ90" s="223"/>
      <c r="SZK90" s="224"/>
      <c r="SZL90" s="223"/>
      <c r="SZM90" s="223"/>
      <c r="SZN90" s="223"/>
      <c r="SZO90" s="223"/>
      <c r="SZP90" s="225"/>
      <c r="SZQ90" s="220"/>
      <c r="SZR90" s="221"/>
      <c r="SZS90" s="222"/>
      <c r="SZT90" s="222"/>
      <c r="SZU90" s="223"/>
      <c r="SZV90" s="223"/>
      <c r="SZW90" s="224"/>
      <c r="SZX90" s="223"/>
      <c r="SZY90" s="223"/>
      <c r="SZZ90" s="223"/>
      <c r="TAA90" s="223"/>
      <c r="TAB90" s="225"/>
      <c r="TAC90" s="220"/>
      <c r="TAD90" s="221"/>
      <c r="TAE90" s="222"/>
      <c r="TAF90" s="222"/>
      <c r="TAG90" s="223"/>
      <c r="TAH90" s="223"/>
      <c r="TAI90" s="224"/>
      <c r="TAJ90" s="223"/>
      <c r="TAK90" s="223"/>
      <c r="TAL90" s="223"/>
      <c r="TAM90" s="223"/>
      <c r="TAN90" s="225"/>
      <c r="TAO90" s="220"/>
      <c r="TAP90" s="221"/>
      <c r="TAQ90" s="222"/>
      <c r="TAR90" s="222"/>
      <c r="TAS90" s="223"/>
      <c r="TAT90" s="223"/>
      <c r="TAU90" s="224"/>
      <c r="TAV90" s="223"/>
      <c r="TAW90" s="223"/>
      <c r="TAX90" s="223"/>
      <c r="TAY90" s="223"/>
      <c r="TAZ90" s="225"/>
      <c r="TBA90" s="220"/>
      <c r="TBB90" s="221"/>
      <c r="TBC90" s="222"/>
      <c r="TBD90" s="222"/>
      <c r="TBE90" s="223"/>
      <c r="TBF90" s="223"/>
      <c r="TBG90" s="224"/>
      <c r="TBH90" s="223"/>
      <c r="TBI90" s="223"/>
      <c r="TBJ90" s="223"/>
      <c r="TBK90" s="223"/>
      <c r="TBL90" s="225"/>
      <c r="TBM90" s="220"/>
      <c r="TBN90" s="221"/>
      <c r="TBO90" s="222"/>
      <c r="TBP90" s="222"/>
      <c r="TBQ90" s="223"/>
      <c r="TBR90" s="223"/>
      <c r="TBS90" s="224"/>
      <c r="TBT90" s="223"/>
      <c r="TBU90" s="223"/>
      <c r="TBV90" s="223"/>
      <c r="TBW90" s="223"/>
      <c r="TBX90" s="225"/>
      <c r="TBY90" s="220"/>
      <c r="TBZ90" s="221"/>
      <c r="TCA90" s="222"/>
      <c r="TCB90" s="222"/>
      <c r="TCC90" s="223"/>
      <c r="TCD90" s="223"/>
      <c r="TCE90" s="224"/>
      <c r="TCF90" s="223"/>
      <c r="TCG90" s="223"/>
      <c r="TCH90" s="223"/>
      <c r="TCI90" s="223"/>
      <c r="TCJ90" s="225"/>
      <c r="TCK90" s="220"/>
      <c r="TCL90" s="221"/>
      <c r="TCM90" s="222"/>
      <c r="TCN90" s="222"/>
      <c r="TCO90" s="223"/>
      <c r="TCP90" s="223"/>
      <c r="TCQ90" s="224"/>
      <c r="TCR90" s="223"/>
      <c r="TCS90" s="223"/>
      <c r="TCT90" s="223"/>
      <c r="TCU90" s="223"/>
      <c r="TCV90" s="225"/>
      <c r="TCW90" s="220"/>
      <c r="TCX90" s="221"/>
      <c r="TCY90" s="222"/>
      <c r="TCZ90" s="222"/>
      <c r="TDA90" s="223"/>
      <c r="TDB90" s="223"/>
      <c r="TDC90" s="224"/>
      <c r="TDD90" s="223"/>
      <c r="TDE90" s="223"/>
      <c r="TDF90" s="223"/>
      <c r="TDG90" s="223"/>
      <c r="TDH90" s="225"/>
      <c r="TDI90" s="220"/>
      <c r="TDJ90" s="221"/>
      <c r="TDK90" s="222"/>
      <c r="TDL90" s="222"/>
      <c r="TDM90" s="223"/>
      <c r="TDN90" s="223"/>
      <c r="TDO90" s="224"/>
      <c r="TDP90" s="223"/>
      <c r="TDQ90" s="223"/>
      <c r="TDR90" s="223"/>
      <c r="TDS90" s="223"/>
      <c r="TDT90" s="225"/>
      <c r="TDU90" s="220"/>
      <c r="TDV90" s="221"/>
      <c r="TDW90" s="222"/>
      <c r="TDX90" s="222"/>
      <c r="TDY90" s="223"/>
      <c r="TDZ90" s="223"/>
      <c r="TEA90" s="224"/>
      <c r="TEB90" s="223"/>
      <c r="TEC90" s="223"/>
      <c r="TED90" s="223"/>
      <c r="TEE90" s="223"/>
      <c r="TEF90" s="225"/>
      <c r="TEG90" s="220"/>
      <c r="TEH90" s="221"/>
      <c r="TEI90" s="222"/>
      <c r="TEJ90" s="222"/>
      <c r="TEK90" s="223"/>
      <c r="TEL90" s="223"/>
      <c r="TEM90" s="224"/>
      <c r="TEN90" s="223"/>
      <c r="TEO90" s="223"/>
      <c r="TEP90" s="223"/>
      <c r="TEQ90" s="223"/>
      <c r="TER90" s="225"/>
      <c r="TES90" s="220"/>
      <c r="TET90" s="221"/>
      <c r="TEU90" s="222"/>
      <c r="TEV90" s="222"/>
      <c r="TEW90" s="223"/>
      <c r="TEX90" s="223"/>
      <c r="TEY90" s="224"/>
      <c r="TEZ90" s="223"/>
      <c r="TFA90" s="223"/>
      <c r="TFB90" s="223"/>
      <c r="TFC90" s="223"/>
      <c r="TFD90" s="225"/>
      <c r="TFE90" s="220"/>
      <c r="TFF90" s="221"/>
      <c r="TFG90" s="222"/>
      <c r="TFH90" s="222"/>
      <c r="TFI90" s="223"/>
      <c r="TFJ90" s="223"/>
      <c r="TFK90" s="224"/>
      <c r="TFL90" s="223"/>
      <c r="TFM90" s="223"/>
      <c r="TFN90" s="223"/>
      <c r="TFO90" s="223"/>
      <c r="TFP90" s="225"/>
      <c r="TFQ90" s="220"/>
      <c r="TFR90" s="221"/>
      <c r="TFS90" s="222"/>
      <c r="TFT90" s="222"/>
      <c r="TFU90" s="223"/>
      <c r="TFV90" s="223"/>
      <c r="TFW90" s="224"/>
      <c r="TFX90" s="223"/>
      <c r="TFY90" s="223"/>
      <c r="TFZ90" s="223"/>
      <c r="TGA90" s="223"/>
      <c r="TGB90" s="225"/>
      <c r="TGC90" s="220"/>
      <c r="TGD90" s="221"/>
      <c r="TGE90" s="222"/>
      <c r="TGF90" s="222"/>
      <c r="TGG90" s="223"/>
      <c r="TGH90" s="223"/>
      <c r="TGI90" s="224"/>
      <c r="TGJ90" s="223"/>
      <c r="TGK90" s="223"/>
      <c r="TGL90" s="223"/>
      <c r="TGM90" s="223"/>
      <c r="TGN90" s="225"/>
      <c r="TGO90" s="220"/>
      <c r="TGP90" s="221"/>
      <c r="TGQ90" s="222"/>
      <c r="TGR90" s="222"/>
      <c r="TGS90" s="223"/>
      <c r="TGT90" s="223"/>
      <c r="TGU90" s="224"/>
      <c r="TGV90" s="223"/>
      <c r="TGW90" s="223"/>
      <c r="TGX90" s="223"/>
      <c r="TGY90" s="223"/>
      <c r="TGZ90" s="225"/>
      <c r="THA90" s="220"/>
      <c r="THB90" s="221"/>
      <c r="THC90" s="222"/>
      <c r="THD90" s="222"/>
      <c r="THE90" s="223"/>
      <c r="THF90" s="223"/>
      <c r="THG90" s="224"/>
      <c r="THH90" s="223"/>
      <c r="THI90" s="223"/>
      <c r="THJ90" s="223"/>
      <c r="THK90" s="223"/>
      <c r="THL90" s="225"/>
      <c r="THM90" s="220"/>
      <c r="THN90" s="221"/>
      <c r="THO90" s="222"/>
      <c r="THP90" s="222"/>
      <c r="THQ90" s="223"/>
      <c r="THR90" s="223"/>
      <c r="THS90" s="224"/>
      <c r="THT90" s="223"/>
      <c r="THU90" s="223"/>
      <c r="THV90" s="223"/>
      <c r="THW90" s="223"/>
      <c r="THX90" s="225"/>
      <c r="THY90" s="220"/>
      <c r="THZ90" s="221"/>
      <c r="TIA90" s="222"/>
      <c r="TIB90" s="222"/>
      <c r="TIC90" s="223"/>
      <c r="TID90" s="223"/>
      <c r="TIE90" s="224"/>
      <c r="TIF90" s="223"/>
      <c r="TIG90" s="223"/>
      <c r="TIH90" s="223"/>
      <c r="TII90" s="223"/>
      <c r="TIJ90" s="225"/>
      <c r="TIK90" s="220"/>
      <c r="TIL90" s="221"/>
      <c r="TIM90" s="222"/>
      <c r="TIN90" s="222"/>
      <c r="TIO90" s="223"/>
      <c r="TIP90" s="223"/>
      <c r="TIQ90" s="224"/>
      <c r="TIR90" s="223"/>
      <c r="TIS90" s="223"/>
      <c r="TIT90" s="223"/>
      <c r="TIU90" s="223"/>
      <c r="TIV90" s="225"/>
      <c r="TIW90" s="220"/>
      <c r="TIX90" s="221"/>
      <c r="TIY90" s="222"/>
      <c r="TIZ90" s="222"/>
      <c r="TJA90" s="223"/>
      <c r="TJB90" s="223"/>
      <c r="TJC90" s="224"/>
      <c r="TJD90" s="223"/>
      <c r="TJE90" s="223"/>
      <c r="TJF90" s="223"/>
      <c r="TJG90" s="223"/>
      <c r="TJH90" s="225"/>
      <c r="TJI90" s="220"/>
      <c r="TJJ90" s="221"/>
      <c r="TJK90" s="222"/>
      <c r="TJL90" s="222"/>
      <c r="TJM90" s="223"/>
      <c r="TJN90" s="223"/>
      <c r="TJO90" s="224"/>
      <c r="TJP90" s="223"/>
      <c r="TJQ90" s="223"/>
      <c r="TJR90" s="223"/>
      <c r="TJS90" s="223"/>
      <c r="TJT90" s="225"/>
      <c r="TJU90" s="220"/>
      <c r="TJV90" s="221"/>
      <c r="TJW90" s="222"/>
      <c r="TJX90" s="222"/>
      <c r="TJY90" s="223"/>
      <c r="TJZ90" s="223"/>
      <c r="TKA90" s="224"/>
      <c r="TKB90" s="223"/>
      <c r="TKC90" s="223"/>
      <c r="TKD90" s="223"/>
      <c r="TKE90" s="223"/>
      <c r="TKF90" s="225"/>
      <c r="TKG90" s="220"/>
      <c r="TKH90" s="221"/>
      <c r="TKI90" s="222"/>
      <c r="TKJ90" s="222"/>
      <c r="TKK90" s="223"/>
      <c r="TKL90" s="223"/>
      <c r="TKM90" s="224"/>
      <c r="TKN90" s="223"/>
      <c r="TKO90" s="223"/>
      <c r="TKP90" s="223"/>
      <c r="TKQ90" s="223"/>
      <c r="TKR90" s="225"/>
      <c r="TKS90" s="220"/>
      <c r="TKT90" s="221"/>
      <c r="TKU90" s="222"/>
      <c r="TKV90" s="222"/>
      <c r="TKW90" s="223"/>
      <c r="TKX90" s="223"/>
      <c r="TKY90" s="224"/>
      <c r="TKZ90" s="223"/>
      <c r="TLA90" s="223"/>
      <c r="TLB90" s="223"/>
      <c r="TLC90" s="223"/>
      <c r="TLD90" s="225"/>
      <c r="TLE90" s="220"/>
      <c r="TLF90" s="221"/>
      <c r="TLG90" s="222"/>
      <c r="TLH90" s="222"/>
      <c r="TLI90" s="223"/>
      <c r="TLJ90" s="223"/>
      <c r="TLK90" s="224"/>
      <c r="TLL90" s="223"/>
      <c r="TLM90" s="223"/>
      <c r="TLN90" s="223"/>
      <c r="TLO90" s="223"/>
      <c r="TLP90" s="225"/>
      <c r="TLQ90" s="220"/>
      <c r="TLR90" s="221"/>
      <c r="TLS90" s="222"/>
      <c r="TLT90" s="222"/>
      <c r="TLU90" s="223"/>
      <c r="TLV90" s="223"/>
      <c r="TLW90" s="224"/>
      <c r="TLX90" s="223"/>
      <c r="TLY90" s="223"/>
      <c r="TLZ90" s="223"/>
      <c r="TMA90" s="223"/>
      <c r="TMB90" s="225"/>
      <c r="TMC90" s="220"/>
      <c r="TMD90" s="221"/>
      <c r="TME90" s="222"/>
      <c r="TMF90" s="222"/>
      <c r="TMG90" s="223"/>
      <c r="TMH90" s="223"/>
      <c r="TMI90" s="224"/>
      <c r="TMJ90" s="223"/>
      <c r="TMK90" s="223"/>
      <c r="TML90" s="223"/>
      <c r="TMM90" s="223"/>
      <c r="TMN90" s="225"/>
      <c r="TMO90" s="220"/>
      <c r="TMP90" s="221"/>
      <c r="TMQ90" s="222"/>
      <c r="TMR90" s="222"/>
      <c r="TMS90" s="223"/>
      <c r="TMT90" s="223"/>
      <c r="TMU90" s="224"/>
      <c r="TMV90" s="223"/>
      <c r="TMW90" s="223"/>
      <c r="TMX90" s="223"/>
      <c r="TMY90" s="223"/>
      <c r="TMZ90" s="225"/>
      <c r="TNA90" s="220"/>
      <c r="TNB90" s="221"/>
      <c r="TNC90" s="222"/>
      <c r="TND90" s="222"/>
      <c r="TNE90" s="223"/>
      <c r="TNF90" s="223"/>
      <c r="TNG90" s="224"/>
      <c r="TNH90" s="223"/>
      <c r="TNI90" s="223"/>
      <c r="TNJ90" s="223"/>
      <c r="TNK90" s="223"/>
      <c r="TNL90" s="225"/>
      <c r="TNM90" s="220"/>
      <c r="TNN90" s="221"/>
      <c r="TNO90" s="222"/>
      <c r="TNP90" s="222"/>
      <c r="TNQ90" s="223"/>
      <c r="TNR90" s="223"/>
      <c r="TNS90" s="224"/>
      <c r="TNT90" s="223"/>
      <c r="TNU90" s="223"/>
      <c r="TNV90" s="223"/>
      <c r="TNW90" s="223"/>
      <c r="TNX90" s="225"/>
      <c r="TNY90" s="220"/>
      <c r="TNZ90" s="221"/>
      <c r="TOA90" s="222"/>
      <c r="TOB90" s="222"/>
      <c r="TOC90" s="223"/>
      <c r="TOD90" s="223"/>
      <c r="TOE90" s="224"/>
      <c r="TOF90" s="223"/>
      <c r="TOG90" s="223"/>
      <c r="TOH90" s="223"/>
      <c r="TOI90" s="223"/>
      <c r="TOJ90" s="225"/>
      <c r="TOK90" s="220"/>
      <c r="TOL90" s="221"/>
      <c r="TOM90" s="222"/>
      <c r="TON90" s="222"/>
      <c r="TOO90" s="223"/>
      <c r="TOP90" s="223"/>
      <c r="TOQ90" s="224"/>
      <c r="TOR90" s="223"/>
      <c r="TOS90" s="223"/>
      <c r="TOT90" s="223"/>
      <c r="TOU90" s="223"/>
      <c r="TOV90" s="225"/>
      <c r="TOW90" s="220"/>
      <c r="TOX90" s="221"/>
      <c r="TOY90" s="222"/>
      <c r="TOZ90" s="222"/>
      <c r="TPA90" s="223"/>
      <c r="TPB90" s="223"/>
      <c r="TPC90" s="224"/>
      <c r="TPD90" s="223"/>
      <c r="TPE90" s="223"/>
      <c r="TPF90" s="223"/>
      <c r="TPG90" s="223"/>
      <c r="TPH90" s="225"/>
      <c r="TPI90" s="220"/>
      <c r="TPJ90" s="221"/>
      <c r="TPK90" s="222"/>
      <c r="TPL90" s="222"/>
      <c r="TPM90" s="223"/>
      <c r="TPN90" s="223"/>
      <c r="TPO90" s="224"/>
      <c r="TPP90" s="223"/>
      <c r="TPQ90" s="223"/>
      <c r="TPR90" s="223"/>
      <c r="TPS90" s="223"/>
      <c r="TPT90" s="225"/>
      <c r="TPU90" s="220"/>
      <c r="TPV90" s="221"/>
      <c r="TPW90" s="222"/>
      <c r="TPX90" s="222"/>
      <c r="TPY90" s="223"/>
      <c r="TPZ90" s="223"/>
      <c r="TQA90" s="224"/>
      <c r="TQB90" s="223"/>
      <c r="TQC90" s="223"/>
      <c r="TQD90" s="223"/>
      <c r="TQE90" s="223"/>
      <c r="TQF90" s="225"/>
      <c r="TQG90" s="220"/>
      <c r="TQH90" s="221"/>
      <c r="TQI90" s="222"/>
      <c r="TQJ90" s="222"/>
      <c r="TQK90" s="223"/>
      <c r="TQL90" s="223"/>
      <c r="TQM90" s="224"/>
      <c r="TQN90" s="223"/>
      <c r="TQO90" s="223"/>
      <c r="TQP90" s="223"/>
      <c r="TQQ90" s="223"/>
      <c r="TQR90" s="225"/>
      <c r="TQS90" s="220"/>
      <c r="TQT90" s="221"/>
      <c r="TQU90" s="222"/>
      <c r="TQV90" s="222"/>
      <c r="TQW90" s="223"/>
      <c r="TQX90" s="223"/>
      <c r="TQY90" s="224"/>
      <c r="TQZ90" s="223"/>
      <c r="TRA90" s="223"/>
      <c r="TRB90" s="223"/>
      <c r="TRC90" s="223"/>
      <c r="TRD90" s="225"/>
      <c r="TRE90" s="220"/>
      <c r="TRF90" s="221"/>
      <c r="TRG90" s="222"/>
      <c r="TRH90" s="222"/>
      <c r="TRI90" s="223"/>
      <c r="TRJ90" s="223"/>
      <c r="TRK90" s="224"/>
      <c r="TRL90" s="223"/>
      <c r="TRM90" s="223"/>
      <c r="TRN90" s="223"/>
      <c r="TRO90" s="223"/>
      <c r="TRP90" s="225"/>
      <c r="TRQ90" s="220"/>
      <c r="TRR90" s="221"/>
      <c r="TRS90" s="222"/>
      <c r="TRT90" s="222"/>
      <c r="TRU90" s="223"/>
      <c r="TRV90" s="223"/>
      <c r="TRW90" s="224"/>
      <c r="TRX90" s="223"/>
      <c r="TRY90" s="223"/>
      <c r="TRZ90" s="223"/>
      <c r="TSA90" s="223"/>
      <c r="TSB90" s="225"/>
      <c r="TSC90" s="220"/>
      <c r="TSD90" s="221"/>
      <c r="TSE90" s="222"/>
      <c r="TSF90" s="222"/>
      <c r="TSG90" s="223"/>
      <c r="TSH90" s="223"/>
      <c r="TSI90" s="224"/>
      <c r="TSJ90" s="223"/>
      <c r="TSK90" s="223"/>
      <c r="TSL90" s="223"/>
      <c r="TSM90" s="223"/>
      <c r="TSN90" s="225"/>
      <c r="TSO90" s="220"/>
      <c r="TSP90" s="221"/>
      <c r="TSQ90" s="222"/>
      <c r="TSR90" s="222"/>
      <c r="TSS90" s="223"/>
      <c r="TST90" s="223"/>
      <c r="TSU90" s="224"/>
      <c r="TSV90" s="223"/>
      <c r="TSW90" s="223"/>
      <c r="TSX90" s="223"/>
      <c r="TSY90" s="223"/>
      <c r="TSZ90" s="225"/>
      <c r="TTA90" s="220"/>
      <c r="TTB90" s="221"/>
      <c r="TTC90" s="222"/>
      <c r="TTD90" s="222"/>
      <c r="TTE90" s="223"/>
      <c r="TTF90" s="223"/>
      <c r="TTG90" s="224"/>
      <c r="TTH90" s="223"/>
      <c r="TTI90" s="223"/>
      <c r="TTJ90" s="223"/>
      <c r="TTK90" s="223"/>
      <c r="TTL90" s="225"/>
      <c r="TTM90" s="220"/>
      <c r="TTN90" s="221"/>
      <c r="TTO90" s="222"/>
      <c r="TTP90" s="222"/>
      <c r="TTQ90" s="223"/>
      <c r="TTR90" s="223"/>
      <c r="TTS90" s="224"/>
      <c r="TTT90" s="223"/>
      <c r="TTU90" s="223"/>
      <c r="TTV90" s="223"/>
      <c r="TTW90" s="223"/>
      <c r="TTX90" s="225"/>
      <c r="TTY90" s="220"/>
      <c r="TTZ90" s="221"/>
      <c r="TUA90" s="222"/>
      <c r="TUB90" s="222"/>
      <c r="TUC90" s="223"/>
      <c r="TUD90" s="223"/>
      <c r="TUE90" s="224"/>
      <c r="TUF90" s="223"/>
      <c r="TUG90" s="223"/>
      <c r="TUH90" s="223"/>
      <c r="TUI90" s="223"/>
      <c r="TUJ90" s="225"/>
      <c r="TUK90" s="220"/>
      <c r="TUL90" s="221"/>
      <c r="TUM90" s="222"/>
      <c r="TUN90" s="222"/>
      <c r="TUO90" s="223"/>
      <c r="TUP90" s="223"/>
      <c r="TUQ90" s="224"/>
      <c r="TUR90" s="223"/>
      <c r="TUS90" s="223"/>
      <c r="TUT90" s="223"/>
      <c r="TUU90" s="223"/>
      <c r="TUV90" s="225"/>
      <c r="TUW90" s="220"/>
      <c r="TUX90" s="221"/>
      <c r="TUY90" s="222"/>
      <c r="TUZ90" s="222"/>
      <c r="TVA90" s="223"/>
      <c r="TVB90" s="223"/>
      <c r="TVC90" s="224"/>
      <c r="TVD90" s="223"/>
      <c r="TVE90" s="223"/>
      <c r="TVF90" s="223"/>
      <c r="TVG90" s="223"/>
      <c r="TVH90" s="225"/>
      <c r="TVI90" s="220"/>
      <c r="TVJ90" s="221"/>
      <c r="TVK90" s="222"/>
      <c r="TVL90" s="222"/>
      <c r="TVM90" s="223"/>
      <c r="TVN90" s="223"/>
      <c r="TVO90" s="224"/>
      <c r="TVP90" s="223"/>
      <c r="TVQ90" s="223"/>
      <c r="TVR90" s="223"/>
      <c r="TVS90" s="223"/>
      <c r="TVT90" s="225"/>
      <c r="TVU90" s="220"/>
      <c r="TVV90" s="221"/>
      <c r="TVW90" s="222"/>
      <c r="TVX90" s="222"/>
      <c r="TVY90" s="223"/>
      <c r="TVZ90" s="223"/>
      <c r="TWA90" s="224"/>
      <c r="TWB90" s="223"/>
      <c r="TWC90" s="223"/>
      <c r="TWD90" s="223"/>
      <c r="TWE90" s="223"/>
      <c r="TWF90" s="225"/>
      <c r="TWG90" s="220"/>
      <c r="TWH90" s="221"/>
      <c r="TWI90" s="222"/>
      <c r="TWJ90" s="222"/>
      <c r="TWK90" s="223"/>
      <c r="TWL90" s="223"/>
      <c r="TWM90" s="224"/>
      <c r="TWN90" s="223"/>
      <c r="TWO90" s="223"/>
      <c r="TWP90" s="223"/>
      <c r="TWQ90" s="223"/>
      <c r="TWR90" s="225"/>
      <c r="TWS90" s="220"/>
      <c r="TWT90" s="221"/>
      <c r="TWU90" s="222"/>
      <c r="TWV90" s="222"/>
      <c r="TWW90" s="223"/>
      <c r="TWX90" s="223"/>
      <c r="TWY90" s="224"/>
      <c r="TWZ90" s="223"/>
      <c r="TXA90" s="223"/>
      <c r="TXB90" s="223"/>
      <c r="TXC90" s="223"/>
      <c r="TXD90" s="225"/>
      <c r="TXE90" s="220"/>
      <c r="TXF90" s="221"/>
      <c r="TXG90" s="222"/>
      <c r="TXH90" s="222"/>
      <c r="TXI90" s="223"/>
      <c r="TXJ90" s="223"/>
      <c r="TXK90" s="224"/>
      <c r="TXL90" s="223"/>
      <c r="TXM90" s="223"/>
      <c r="TXN90" s="223"/>
      <c r="TXO90" s="223"/>
      <c r="TXP90" s="225"/>
      <c r="TXQ90" s="220"/>
      <c r="TXR90" s="221"/>
      <c r="TXS90" s="222"/>
      <c r="TXT90" s="222"/>
      <c r="TXU90" s="223"/>
      <c r="TXV90" s="223"/>
      <c r="TXW90" s="224"/>
      <c r="TXX90" s="223"/>
      <c r="TXY90" s="223"/>
      <c r="TXZ90" s="223"/>
      <c r="TYA90" s="223"/>
      <c r="TYB90" s="225"/>
      <c r="TYC90" s="220"/>
      <c r="TYD90" s="221"/>
      <c r="TYE90" s="222"/>
      <c r="TYF90" s="222"/>
      <c r="TYG90" s="223"/>
      <c r="TYH90" s="223"/>
      <c r="TYI90" s="224"/>
      <c r="TYJ90" s="223"/>
      <c r="TYK90" s="223"/>
      <c r="TYL90" s="223"/>
      <c r="TYM90" s="223"/>
      <c r="TYN90" s="225"/>
      <c r="TYO90" s="220"/>
      <c r="TYP90" s="221"/>
      <c r="TYQ90" s="222"/>
      <c r="TYR90" s="222"/>
      <c r="TYS90" s="223"/>
      <c r="TYT90" s="223"/>
      <c r="TYU90" s="224"/>
      <c r="TYV90" s="223"/>
      <c r="TYW90" s="223"/>
      <c r="TYX90" s="223"/>
      <c r="TYY90" s="223"/>
      <c r="TYZ90" s="225"/>
      <c r="TZA90" s="220"/>
      <c r="TZB90" s="221"/>
      <c r="TZC90" s="222"/>
      <c r="TZD90" s="222"/>
      <c r="TZE90" s="223"/>
      <c r="TZF90" s="223"/>
      <c r="TZG90" s="224"/>
      <c r="TZH90" s="223"/>
      <c r="TZI90" s="223"/>
      <c r="TZJ90" s="223"/>
      <c r="TZK90" s="223"/>
      <c r="TZL90" s="225"/>
      <c r="TZM90" s="220"/>
      <c r="TZN90" s="221"/>
      <c r="TZO90" s="222"/>
      <c r="TZP90" s="222"/>
      <c r="TZQ90" s="223"/>
      <c r="TZR90" s="223"/>
      <c r="TZS90" s="224"/>
      <c r="TZT90" s="223"/>
      <c r="TZU90" s="223"/>
      <c r="TZV90" s="223"/>
      <c r="TZW90" s="223"/>
      <c r="TZX90" s="225"/>
      <c r="TZY90" s="220"/>
      <c r="TZZ90" s="221"/>
      <c r="UAA90" s="222"/>
      <c r="UAB90" s="222"/>
      <c r="UAC90" s="223"/>
      <c r="UAD90" s="223"/>
      <c r="UAE90" s="224"/>
      <c r="UAF90" s="223"/>
      <c r="UAG90" s="223"/>
      <c r="UAH90" s="223"/>
      <c r="UAI90" s="223"/>
      <c r="UAJ90" s="225"/>
      <c r="UAK90" s="220"/>
      <c r="UAL90" s="221"/>
      <c r="UAM90" s="222"/>
      <c r="UAN90" s="222"/>
      <c r="UAO90" s="223"/>
      <c r="UAP90" s="223"/>
      <c r="UAQ90" s="224"/>
      <c r="UAR90" s="223"/>
      <c r="UAS90" s="223"/>
      <c r="UAT90" s="223"/>
      <c r="UAU90" s="223"/>
      <c r="UAV90" s="225"/>
      <c r="UAW90" s="220"/>
      <c r="UAX90" s="221"/>
      <c r="UAY90" s="222"/>
      <c r="UAZ90" s="222"/>
      <c r="UBA90" s="223"/>
      <c r="UBB90" s="223"/>
      <c r="UBC90" s="224"/>
      <c r="UBD90" s="223"/>
      <c r="UBE90" s="223"/>
      <c r="UBF90" s="223"/>
      <c r="UBG90" s="223"/>
      <c r="UBH90" s="225"/>
      <c r="UBI90" s="220"/>
      <c r="UBJ90" s="221"/>
      <c r="UBK90" s="222"/>
      <c r="UBL90" s="222"/>
      <c r="UBM90" s="223"/>
      <c r="UBN90" s="223"/>
      <c r="UBO90" s="224"/>
      <c r="UBP90" s="223"/>
      <c r="UBQ90" s="223"/>
      <c r="UBR90" s="223"/>
      <c r="UBS90" s="223"/>
      <c r="UBT90" s="225"/>
      <c r="UBU90" s="220"/>
      <c r="UBV90" s="221"/>
      <c r="UBW90" s="222"/>
      <c r="UBX90" s="222"/>
      <c r="UBY90" s="223"/>
      <c r="UBZ90" s="223"/>
      <c r="UCA90" s="224"/>
      <c r="UCB90" s="223"/>
      <c r="UCC90" s="223"/>
      <c r="UCD90" s="223"/>
      <c r="UCE90" s="223"/>
      <c r="UCF90" s="225"/>
      <c r="UCG90" s="220"/>
      <c r="UCH90" s="221"/>
      <c r="UCI90" s="222"/>
      <c r="UCJ90" s="222"/>
      <c r="UCK90" s="223"/>
      <c r="UCL90" s="223"/>
      <c r="UCM90" s="224"/>
      <c r="UCN90" s="223"/>
      <c r="UCO90" s="223"/>
      <c r="UCP90" s="223"/>
      <c r="UCQ90" s="223"/>
      <c r="UCR90" s="225"/>
      <c r="UCS90" s="220"/>
      <c r="UCT90" s="221"/>
      <c r="UCU90" s="222"/>
      <c r="UCV90" s="222"/>
      <c r="UCW90" s="223"/>
      <c r="UCX90" s="223"/>
      <c r="UCY90" s="224"/>
      <c r="UCZ90" s="223"/>
      <c r="UDA90" s="223"/>
      <c r="UDB90" s="223"/>
      <c r="UDC90" s="223"/>
      <c r="UDD90" s="225"/>
      <c r="UDE90" s="220"/>
      <c r="UDF90" s="221"/>
      <c r="UDG90" s="222"/>
      <c r="UDH90" s="222"/>
      <c r="UDI90" s="223"/>
      <c r="UDJ90" s="223"/>
      <c r="UDK90" s="224"/>
      <c r="UDL90" s="223"/>
      <c r="UDM90" s="223"/>
      <c r="UDN90" s="223"/>
      <c r="UDO90" s="223"/>
      <c r="UDP90" s="225"/>
      <c r="UDQ90" s="220"/>
      <c r="UDR90" s="221"/>
      <c r="UDS90" s="222"/>
      <c r="UDT90" s="222"/>
      <c r="UDU90" s="223"/>
      <c r="UDV90" s="223"/>
      <c r="UDW90" s="224"/>
      <c r="UDX90" s="223"/>
      <c r="UDY90" s="223"/>
      <c r="UDZ90" s="223"/>
      <c r="UEA90" s="223"/>
      <c r="UEB90" s="225"/>
      <c r="UEC90" s="220"/>
      <c r="UED90" s="221"/>
      <c r="UEE90" s="222"/>
      <c r="UEF90" s="222"/>
      <c r="UEG90" s="223"/>
      <c r="UEH90" s="223"/>
      <c r="UEI90" s="224"/>
      <c r="UEJ90" s="223"/>
      <c r="UEK90" s="223"/>
      <c r="UEL90" s="223"/>
      <c r="UEM90" s="223"/>
      <c r="UEN90" s="225"/>
      <c r="UEO90" s="220"/>
      <c r="UEP90" s="221"/>
      <c r="UEQ90" s="222"/>
      <c r="UER90" s="222"/>
      <c r="UES90" s="223"/>
      <c r="UET90" s="223"/>
      <c r="UEU90" s="224"/>
      <c r="UEV90" s="223"/>
      <c r="UEW90" s="223"/>
      <c r="UEX90" s="223"/>
      <c r="UEY90" s="223"/>
      <c r="UEZ90" s="225"/>
      <c r="UFA90" s="220"/>
      <c r="UFB90" s="221"/>
      <c r="UFC90" s="222"/>
      <c r="UFD90" s="222"/>
      <c r="UFE90" s="223"/>
      <c r="UFF90" s="223"/>
      <c r="UFG90" s="224"/>
      <c r="UFH90" s="223"/>
      <c r="UFI90" s="223"/>
      <c r="UFJ90" s="223"/>
      <c r="UFK90" s="223"/>
      <c r="UFL90" s="225"/>
      <c r="UFM90" s="220"/>
      <c r="UFN90" s="221"/>
      <c r="UFO90" s="222"/>
      <c r="UFP90" s="222"/>
      <c r="UFQ90" s="223"/>
      <c r="UFR90" s="223"/>
      <c r="UFS90" s="224"/>
      <c r="UFT90" s="223"/>
      <c r="UFU90" s="223"/>
      <c r="UFV90" s="223"/>
      <c r="UFW90" s="223"/>
      <c r="UFX90" s="225"/>
      <c r="UFY90" s="220"/>
      <c r="UFZ90" s="221"/>
      <c r="UGA90" s="222"/>
      <c r="UGB90" s="222"/>
      <c r="UGC90" s="223"/>
      <c r="UGD90" s="223"/>
      <c r="UGE90" s="224"/>
      <c r="UGF90" s="223"/>
      <c r="UGG90" s="223"/>
      <c r="UGH90" s="223"/>
      <c r="UGI90" s="223"/>
      <c r="UGJ90" s="225"/>
      <c r="UGK90" s="220"/>
      <c r="UGL90" s="221"/>
      <c r="UGM90" s="222"/>
      <c r="UGN90" s="222"/>
      <c r="UGO90" s="223"/>
      <c r="UGP90" s="223"/>
      <c r="UGQ90" s="224"/>
      <c r="UGR90" s="223"/>
      <c r="UGS90" s="223"/>
      <c r="UGT90" s="223"/>
      <c r="UGU90" s="223"/>
      <c r="UGV90" s="225"/>
      <c r="UGW90" s="220"/>
      <c r="UGX90" s="221"/>
      <c r="UGY90" s="222"/>
      <c r="UGZ90" s="222"/>
      <c r="UHA90" s="223"/>
      <c r="UHB90" s="223"/>
      <c r="UHC90" s="224"/>
      <c r="UHD90" s="223"/>
      <c r="UHE90" s="223"/>
      <c r="UHF90" s="223"/>
      <c r="UHG90" s="223"/>
      <c r="UHH90" s="225"/>
      <c r="UHI90" s="220"/>
      <c r="UHJ90" s="221"/>
      <c r="UHK90" s="222"/>
      <c r="UHL90" s="222"/>
      <c r="UHM90" s="223"/>
      <c r="UHN90" s="223"/>
      <c r="UHO90" s="224"/>
      <c r="UHP90" s="223"/>
      <c r="UHQ90" s="223"/>
      <c r="UHR90" s="223"/>
      <c r="UHS90" s="223"/>
      <c r="UHT90" s="225"/>
      <c r="UHU90" s="220"/>
      <c r="UHV90" s="221"/>
      <c r="UHW90" s="222"/>
      <c r="UHX90" s="222"/>
      <c r="UHY90" s="223"/>
      <c r="UHZ90" s="223"/>
      <c r="UIA90" s="224"/>
      <c r="UIB90" s="223"/>
      <c r="UIC90" s="223"/>
      <c r="UID90" s="223"/>
      <c r="UIE90" s="223"/>
      <c r="UIF90" s="225"/>
      <c r="UIG90" s="220"/>
      <c r="UIH90" s="221"/>
      <c r="UII90" s="222"/>
      <c r="UIJ90" s="222"/>
      <c r="UIK90" s="223"/>
      <c r="UIL90" s="223"/>
      <c r="UIM90" s="224"/>
      <c r="UIN90" s="223"/>
      <c r="UIO90" s="223"/>
      <c r="UIP90" s="223"/>
      <c r="UIQ90" s="223"/>
      <c r="UIR90" s="225"/>
      <c r="UIS90" s="220"/>
      <c r="UIT90" s="221"/>
      <c r="UIU90" s="222"/>
      <c r="UIV90" s="222"/>
      <c r="UIW90" s="223"/>
      <c r="UIX90" s="223"/>
      <c r="UIY90" s="224"/>
      <c r="UIZ90" s="223"/>
      <c r="UJA90" s="223"/>
      <c r="UJB90" s="223"/>
      <c r="UJC90" s="223"/>
      <c r="UJD90" s="225"/>
      <c r="UJE90" s="220"/>
      <c r="UJF90" s="221"/>
      <c r="UJG90" s="222"/>
      <c r="UJH90" s="222"/>
      <c r="UJI90" s="223"/>
      <c r="UJJ90" s="223"/>
      <c r="UJK90" s="224"/>
      <c r="UJL90" s="223"/>
      <c r="UJM90" s="223"/>
      <c r="UJN90" s="223"/>
      <c r="UJO90" s="223"/>
      <c r="UJP90" s="225"/>
      <c r="UJQ90" s="220"/>
      <c r="UJR90" s="221"/>
      <c r="UJS90" s="222"/>
      <c r="UJT90" s="222"/>
      <c r="UJU90" s="223"/>
      <c r="UJV90" s="223"/>
      <c r="UJW90" s="224"/>
      <c r="UJX90" s="223"/>
      <c r="UJY90" s="223"/>
      <c r="UJZ90" s="223"/>
      <c r="UKA90" s="223"/>
      <c r="UKB90" s="225"/>
      <c r="UKC90" s="220"/>
      <c r="UKD90" s="221"/>
      <c r="UKE90" s="222"/>
      <c r="UKF90" s="222"/>
      <c r="UKG90" s="223"/>
      <c r="UKH90" s="223"/>
      <c r="UKI90" s="224"/>
      <c r="UKJ90" s="223"/>
      <c r="UKK90" s="223"/>
      <c r="UKL90" s="223"/>
      <c r="UKM90" s="223"/>
      <c r="UKN90" s="225"/>
      <c r="UKO90" s="220"/>
      <c r="UKP90" s="221"/>
      <c r="UKQ90" s="222"/>
      <c r="UKR90" s="222"/>
      <c r="UKS90" s="223"/>
      <c r="UKT90" s="223"/>
      <c r="UKU90" s="224"/>
      <c r="UKV90" s="223"/>
      <c r="UKW90" s="223"/>
      <c r="UKX90" s="223"/>
      <c r="UKY90" s="223"/>
      <c r="UKZ90" s="225"/>
      <c r="ULA90" s="220"/>
      <c r="ULB90" s="221"/>
      <c r="ULC90" s="222"/>
      <c r="ULD90" s="222"/>
      <c r="ULE90" s="223"/>
      <c r="ULF90" s="223"/>
      <c r="ULG90" s="224"/>
      <c r="ULH90" s="223"/>
      <c r="ULI90" s="223"/>
      <c r="ULJ90" s="223"/>
      <c r="ULK90" s="223"/>
      <c r="ULL90" s="225"/>
      <c r="ULM90" s="220"/>
      <c r="ULN90" s="221"/>
      <c r="ULO90" s="222"/>
      <c r="ULP90" s="222"/>
      <c r="ULQ90" s="223"/>
      <c r="ULR90" s="223"/>
      <c r="ULS90" s="224"/>
      <c r="ULT90" s="223"/>
      <c r="ULU90" s="223"/>
      <c r="ULV90" s="223"/>
      <c r="ULW90" s="223"/>
      <c r="ULX90" s="225"/>
      <c r="ULY90" s="220"/>
      <c r="ULZ90" s="221"/>
      <c r="UMA90" s="222"/>
      <c r="UMB90" s="222"/>
      <c r="UMC90" s="223"/>
      <c r="UMD90" s="223"/>
      <c r="UME90" s="224"/>
      <c r="UMF90" s="223"/>
      <c r="UMG90" s="223"/>
      <c r="UMH90" s="223"/>
      <c r="UMI90" s="223"/>
      <c r="UMJ90" s="225"/>
      <c r="UMK90" s="220"/>
      <c r="UML90" s="221"/>
      <c r="UMM90" s="222"/>
      <c r="UMN90" s="222"/>
      <c r="UMO90" s="223"/>
      <c r="UMP90" s="223"/>
      <c r="UMQ90" s="224"/>
      <c r="UMR90" s="223"/>
      <c r="UMS90" s="223"/>
      <c r="UMT90" s="223"/>
      <c r="UMU90" s="223"/>
      <c r="UMV90" s="225"/>
      <c r="UMW90" s="220"/>
      <c r="UMX90" s="221"/>
      <c r="UMY90" s="222"/>
      <c r="UMZ90" s="222"/>
      <c r="UNA90" s="223"/>
      <c r="UNB90" s="223"/>
      <c r="UNC90" s="224"/>
      <c r="UND90" s="223"/>
      <c r="UNE90" s="223"/>
      <c r="UNF90" s="223"/>
      <c r="UNG90" s="223"/>
      <c r="UNH90" s="225"/>
      <c r="UNI90" s="220"/>
      <c r="UNJ90" s="221"/>
      <c r="UNK90" s="222"/>
      <c r="UNL90" s="222"/>
      <c r="UNM90" s="223"/>
      <c r="UNN90" s="223"/>
      <c r="UNO90" s="224"/>
      <c r="UNP90" s="223"/>
      <c r="UNQ90" s="223"/>
      <c r="UNR90" s="223"/>
      <c r="UNS90" s="223"/>
      <c r="UNT90" s="225"/>
      <c r="UNU90" s="220"/>
      <c r="UNV90" s="221"/>
      <c r="UNW90" s="222"/>
      <c r="UNX90" s="222"/>
      <c r="UNY90" s="223"/>
      <c r="UNZ90" s="223"/>
      <c r="UOA90" s="224"/>
      <c r="UOB90" s="223"/>
      <c r="UOC90" s="223"/>
      <c r="UOD90" s="223"/>
      <c r="UOE90" s="223"/>
      <c r="UOF90" s="225"/>
      <c r="UOG90" s="220"/>
      <c r="UOH90" s="221"/>
      <c r="UOI90" s="222"/>
      <c r="UOJ90" s="222"/>
      <c r="UOK90" s="223"/>
      <c r="UOL90" s="223"/>
      <c r="UOM90" s="224"/>
      <c r="UON90" s="223"/>
      <c r="UOO90" s="223"/>
      <c r="UOP90" s="223"/>
      <c r="UOQ90" s="223"/>
      <c r="UOR90" s="225"/>
      <c r="UOS90" s="220"/>
      <c r="UOT90" s="221"/>
      <c r="UOU90" s="222"/>
      <c r="UOV90" s="222"/>
      <c r="UOW90" s="223"/>
      <c r="UOX90" s="223"/>
      <c r="UOY90" s="224"/>
      <c r="UOZ90" s="223"/>
      <c r="UPA90" s="223"/>
      <c r="UPB90" s="223"/>
      <c r="UPC90" s="223"/>
      <c r="UPD90" s="225"/>
      <c r="UPE90" s="220"/>
      <c r="UPF90" s="221"/>
      <c r="UPG90" s="222"/>
      <c r="UPH90" s="222"/>
      <c r="UPI90" s="223"/>
      <c r="UPJ90" s="223"/>
      <c r="UPK90" s="224"/>
      <c r="UPL90" s="223"/>
      <c r="UPM90" s="223"/>
      <c r="UPN90" s="223"/>
      <c r="UPO90" s="223"/>
      <c r="UPP90" s="225"/>
      <c r="UPQ90" s="220"/>
      <c r="UPR90" s="221"/>
      <c r="UPS90" s="222"/>
      <c r="UPT90" s="222"/>
      <c r="UPU90" s="223"/>
      <c r="UPV90" s="223"/>
      <c r="UPW90" s="224"/>
      <c r="UPX90" s="223"/>
      <c r="UPY90" s="223"/>
      <c r="UPZ90" s="223"/>
      <c r="UQA90" s="223"/>
      <c r="UQB90" s="225"/>
      <c r="UQC90" s="220"/>
      <c r="UQD90" s="221"/>
      <c r="UQE90" s="222"/>
      <c r="UQF90" s="222"/>
      <c r="UQG90" s="223"/>
      <c r="UQH90" s="223"/>
      <c r="UQI90" s="224"/>
      <c r="UQJ90" s="223"/>
      <c r="UQK90" s="223"/>
      <c r="UQL90" s="223"/>
      <c r="UQM90" s="223"/>
      <c r="UQN90" s="225"/>
      <c r="UQO90" s="220"/>
      <c r="UQP90" s="221"/>
      <c r="UQQ90" s="222"/>
      <c r="UQR90" s="222"/>
      <c r="UQS90" s="223"/>
      <c r="UQT90" s="223"/>
      <c r="UQU90" s="224"/>
      <c r="UQV90" s="223"/>
      <c r="UQW90" s="223"/>
      <c r="UQX90" s="223"/>
      <c r="UQY90" s="223"/>
      <c r="UQZ90" s="225"/>
      <c r="URA90" s="220"/>
      <c r="URB90" s="221"/>
      <c r="URC90" s="222"/>
      <c r="URD90" s="222"/>
      <c r="URE90" s="223"/>
      <c r="URF90" s="223"/>
      <c r="URG90" s="224"/>
      <c r="URH90" s="223"/>
      <c r="URI90" s="223"/>
      <c r="URJ90" s="223"/>
      <c r="URK90" s="223"/>
      <c r="URL90" s="225"/>
      <c r="URM90" s="220"/>
      <c r="URN90" s="221"/>
      <c r="URO90" s="222"/>
      <c r="URP90" s="222"/>
      <c r="URQ90" s="223"/>
      <c r="URR90" s="223"/>
      <c r="URS90" s="224"/>
      <c r="URT90" s="223"/>
      <c r="URU90" s="223"/>
      <c r="URV90" s="223"/>
      <c r="URW90" s="223"/>
      <c r="URX90" s="225"/>
      <c r="URY90" s="220"/>
      <c r="URZ90" s="221"/>
      <c r="USA90" s="222"/>
      <c r="USB90" s="222"/>
      <c r="USC90" s="223"/>
      <c r="USD90" s="223"/>
      <c r="USE90" s="224"/>
      <c r="USF90" s="223"/>
      <c r="USG90" s="223"/>
      <c r="USH90" s="223"/>
      <c r="USI90" s="223"/>
      <c r="USJ90" s="225"/>
      <c r="USK90" s="220"/>
      <c r="USL90" s="221"/>
      <c r="USM90" s="222"/>
      <c r="USN90" s="222"/>
      <c r="USO90" s="223"/>
      <c r="USP90" s="223"/>
      <c r="USQ90" s="224"/>
      <c r="USR90" s="223"/>
      <c r="USS90" s="223"/>
      <c r="UST90" s="223"/>
      <c r="USU90" s="223"/>
      <c r="USV90" s="225"/>
      <c r="USW90" s="220"/>
      <c r="USX90" s="221"/>
      <c r="USY90" s="222"/>
      <c r="USZ90" s="222"/>
      <c r="UTA90" s="223"/>
      <c r="UTB90" s="223"/>
      <c r="UTC90" s="224"/>
      <c r="UTD90" s="223"/>
      <c r="UTE90" s="223"/>
      <c r="UTF90" s="223"/>
      <c r="UTG90" s="223"/>
      <c r="UTH90" s="225"/>
      <c r="UTI90" s="220"/>
      <c r="UTJ90" s="221"/>
      <c r="UTK90" s="222"/>
      <c r="UTL90" s="222"/>
      <c r="UTM90" s="223"/>
      <c r="UTN90" s="223"/>
      <c r="UTO90" s="224"/>
      <c r="UTP90" s="223"/>
      <c r="UTQ90" s="223"/>
      <c r="UTR90" s="223"/>
      <c r="UTS90" s="223"/>
      <c r="UTT90" s="225"/>
      <c r="UTU90" s="220"/>
      <c r="UTV90" s="221"/>
      <c r="UTW90" s="222"/>
      <c r="UTX90" s="222"/>
      <c r="UTY90" s="223"/>
      <c r="UTZ90" s="223"/>
      <c r="UUA90" s="224"/>
      <c r="UUB90" s="223"/>
      <c r="UUC90" s="223"/>
      <c r="UUD90" s="223"/>
      <c r="UUE90" s="223"/>
      <c r="UUF90" s="225"/>
      <c r="UUG90" s="220"/>
      <c r="UUH90" s="221"/>
      <c r="UUI90" s="222"/>
      <c r="UUJ90" s="222"/>
      <c r="UUK90" s="223"/>
      <c r="UUL90" s="223"/>
      <c r="UUM90" s="224"/>
      <c r="UUN90" s="223"/>
      <c r="UUO90" s="223"/>
      <c r="UUP90" s="223"/>
      <c r="UUQ90" s="223"/>
      <c r="UUR90" s="225"/>
      <c r="UUS90" s="220"/>
      <c r="UUT90" s="221"/>
      <c r="UUU90" s="222"/>
      <c r="UUV90" s="222"/>
      <c r="UUW90" s="223"/>
      <c r="UUX90" s="223"/>
      <c r="UUY90" s="224"/>
      <c r="UUZ90" s="223"/>
      <c r="UVA90" s="223"/>
      <c r="UVB90" s="223"/>
      <c r="UVC90" s="223"/>
      <c r="UVD90" s="225"/>
      <c r="UVE90" s="220"/>
      <c r="UVF90" s="221"/>
      <c r="UVG90" s="222"/>
      <c r="UVH90" s="222"/>
      <c r="UVI90" s="223"/>
      <c r="UVJ90" s="223"/>
      <c r="UVK90" s="224"/>
      <c r="UVL90" s="223"/>
      <c r="UVM90" s="223"/>
      <c r="UVN90" s="223"/>
      <c r="UVO90" s="223"/>
      <c r="UVP90" s="225"/>
      <c r="UVQ90" s="220"/>
      <c r="UVR90" s="221"/>
      <c r="UVS90" s="222"/>
      <c r="UVT90" s="222"/>
      <c r="UVU90" s="223"/>
      <c r="UVV90" s="223"/>
      <c r="UVW90" s="224"/>
      <c r="UVX90" s="223"/>
      <c r="UVY90" s="223"/>
      <c r="UVZ90" s="223"/>
      <c r="UWA90" s="223"/>
      <c r="UWB90" s="225"/>
      <c r="UWC90" s="220"/>
      <c r="UWD90" s="221"/>
      <c r="UWE90" s="222"/>
      <c r="UWF90" s="222"/>
      <c r="UWG90" s="223"/>
      <c r="UWH90" s="223"/>
      <c r="UWI90" s="224"/>
      <c r="UWJ90" s="223"/>
      <c r="UWK90" s="223"/>
      <c r="UWL90" s="223"/>
      <c r="UWM90" s="223"/>
      <c r="UWN90" s="225"/>
      <c r="UWO90" s="220"/>
      <c r="UWP90" s="221"/>
      <c r="UWQ90" s="222"/>
      <c r="UWR90" s="222"/>
      <c r="UWS90" s="223"/>
      <c r="UWT90" s="223"/>
      <c r="UWU90" s="224"/>
      <c r="UWV90" s="223"/>
      <c r="UWW90" s="223"/>
      <c r="UWX90" s="223"/>
      <c r="UWY90" s="223"/>
      <c r="UWZ90" s="225"/>
      <c r="UXA90" s="220"/>
      <c r="UXB90" s="221"/>
      <c r="UXC90" s="222"/>
      <c r="UXD90" s="222"/>
      <c r="UXE90" s="223"/>
      <c r="UXF90" s="223"/>
      <c r="UXG90" s="224"/>
      <c r="UXH90" s="223"/>
      <c r="UXI90" s="223"/>
      <c r="UXJ90" s="223"/>
      <c r="UXK90" s="223"/>
      <c r="UXL90" s="225"/>
      <c r="UXM90" s="220"/>
      <c r="UXN90" s="221"/>
      <c r="UXO90" s="222"/>
      <c r="UXP90" s="222"/>
      <c r="UXQ90" s="223"/>
      <c r="UXR90" s="223"/>
      <c r="UXS90" s="224"/>
      <c r="UXT90" s="223"/>
      <c r="UXU90" s="223"/>
      <c r="UXV90" s="223"/>
      <c r="UXW90" s="223"/>
      <c r="UXX90" s="225"/>
      <c r="UXY90" s="220"/>
      <c r="UXZ90" s="221"/>
      <c r="UYA90" s="222"/>
      <c r="UYB90" s="222"/>
      <c r="UYC90" s="223"/>
      <c r="UYD90" s="223"/>
      <c r="UYE90" s="224"/>
      <c r="UYF90" s="223"/>
      <c r="UYG90" s="223"/>
      <c r="UYH90" s="223"/>
      <c r="UYI90" s="223"/>
      <c r="UYJ90" s="225"/>
      <c r="UYK90" s="220"/>
      <c r="UYL90" s="221"/>
      <c r="UYM90" s="222"/>
      <c r="UYN90" s="222"/>
      <c r="UYO90" s="223"/>
      <c r="UYP90" s="223"/>
      <c r="UYQ90" s="224"/>
      <c r="UYR90" s="223"/>
      <c r="UYS90" s="223"/>
      <c r="UYT90" s="223"/>
      <c r="UYU90" s="223"/>
      <c r="UYV90" s="225"/>
      <c r="UYW90" s="220"/>
      <c r="UYX90" s="221"/>
      <c r="UYY90" s="222"/>
      <c r="UYZ90" s="222"/>
      <c r="UZA90" s="223"/>
      <c r="UZB90" s="223"/>
      <c r="UZC90" s="224"/>
      <c r="UZD90" s="223"/>
      <c r="UZE90" s="223"/>
      <c r="UZF90" s="223"/>
      <c r="UZG90" s="223"/>
      <c r="UZH90" s="225"/>
      <c r="UZI90" s="220"/>
      <c r="UZJ90" s="221"/>
      <c r="UZK90" s="222"/>
      <c r="UZL90" s="222"/>
      <c r="UZM90" s="223"/>
      <c r="UZN90" s="223"/>
      <c r="UZO90" s="224"/>
      <c r="UZP90" s="223"/>
      <c r="UZQ90" s="223"/>
      <c r="UZR90" s="223"/>
      <c r="UZS90" s="223"/>
      <c r="UZT90" s="225"/>
      <c r="UZU90" s="220"/>
      <c r="UZV90" s="221"/>
      <c r="UZW90" s="222"/>
      <c r="UZX90" s="222"/>
      <c r="UZY90" s="223"/>
      <c r="UZZ90" s="223"/>
      <c r="VAA90" s="224"/>
      <c r="VAB90" s="223"/>
      <c r="VAC90" s="223"/>
      <c r="VAD90" s="223"/>
      <c r="VAE90" s="223"/>
      <c r="VAF90" s="225"/>
      <c r="VAG90" s="220"/>
      <c r="VAH90" s="221"/>
      <c r="VAI90" s="222"/>
      <c r="VAJ90" s="222"/>
      <c r="VAK90" s="223"/>
      <c r="VAL90" s="223"/>
      <c r="VAM90" s="224"/>
      <c r="VAN90" s="223"/>
      <c r="VAO90" s="223"/>
      <c r="VAP90" s="223"/>
      <c r="VAQ90" s="223"/>
      <c r="VAR90" s="225"/>
      <c r="VAS90" s="220"/>
      <c r="VAT90" s="221"/>
      <c r="VAU90" s="222"/>
      <c r="VAV90" s="222"/>
      <c r="VAW90" s="223"/>
      <c r="VAX90" s="223"/>
      <c r="VAY90" s="224"/>
      <c r="VAZ90" s="223"/>
      <c r="VBA90" s="223"/>
      <c r="VBB90" s="223"/>
      <c r="VBC90" s="223"/>
      <c r="VBD90" s="225"/>
      <c r="VBE90" s="220"/>
      <c r="VBF90" s="221"/>
      <c r="VBG90" s="222"/>
      <c r="VBH90" s="222"/>
      <c r="VBI90" s="223"/>
      <c r="VBJ90" s="223"/>
      <c r="VBK90" s="224"/>
      <c r="VBL90" s="223"/>
      <c r="VBM90" s="223"/>
      <c r="VBN90" s="223"/>
      <c r="VBO90" s="223"/>
      <c r="VBP90" s="225"/>
      <c r="VBQ90" s="220"/>
      <c r="VBR90" s="221"/>
      <c r="VBS90" s="222"/>
      <c r="VBT90" s="222"/>
      <c r="VBU90" s="223"/>
      <c r="VBV90" s="223"/>
      <c r="VBW90" s="224"/>
      <c r="VBX90" s="223"/>
      <c r="VBY90" s="223"/>
      <c r="VBZ90" s="223"/>
      <c r="VCA90" s="223"/>
      <c r="VCB90" s="225"/>
      <c r="VCC90" s="220"/>
      <c r="VCD90" s="221"/>
      <c r="VCE90" s="222"/>
      <c r="VCF90" s="222"/>
      <c r="VCG90" s="223"/>
      <c r="VCH90" s="223"/>
      <c r="VCI90" s="224"/>
      <c r="VCJ90" s="223"/>
      <c r="VCK90" s="223"/>
      <c r="VCL90" s="223"/>
      <c r="VCM90" s="223"/>
      <c r="VCN90" s="225"/>
      <c r="VCO90" s="220"/>
      <c r="VCP90" s="221"/>
      <c r="VCQ90" s="222"/>
      <c r="VCR90" s="222"/>
      <c r="VCS90" s="223"/>
      <c r="VCT90" s="223"/>
      <c r="VCU90" s="224"/>
      <c r="VCV90" s="223"/>
      <c r="VCW90" s="223"/>
      <c r="VCX90" s="223"/>
      <c r="VCY90" s="223"/>
      <c r="VCZ90" s="225"/>
      <c r="VDA90" s="220"/>
      <c r="VDB90" s="221"/>
      <c r="VDC90" s="222"/>
      <c r="VDD90" s="222"/>
      <c r="VDE90" s="223"/>
      <c r="VDF90" s="223"/>
      <c r="VDG90" s="224"/>
      <c r="VDH90" s="223"/>
      <c r="VDI90" s="223"/>
      <c r="VDJ90" s="223"/>
      <c r="VDK90" s="223"/>
      <c r="VDL90" s="225"/>
      <c r="VDM90" s="220"/>
      <c r="VDN90" s="221"/>
      <c r="VDO90" s="222"/>
      <c r="VDP90" s="222"/>
      <c r="VDQ90" s="223"/>
      <c r="VDR90" s="223"/>
      <c r="VDS90" s="224"/>
      <c r="VDT90" s="223"/>
      <c r="VDU90" s="223"/>
      <c r="VDV90" s="223"/>
      <c r="VDW90" s="223"/>
      <c r="VDX90" s="225"/>
      <c r="VDY90" s="220"/>
      <c r="VDZ90" s="221"/>
      <c r="VEA90" s="222"/>
      <c r="VEB90" s="222"/>
      <c r="VEC90" s="223"/>
      <c r="VED90" s="223"/>
      <c r="VEE90" s="224"/>
      <c r="VEF90" s="223"/>
      <c r="VEG90" s="223"/>
      <c r="VEH90" s="223"/>
      <c r="VEI90" s="223"/>
      <c r="VEJ90" s="225"/>
      <c r="VEK90" s="220"/>
      <c r="VEL90" s="221"/>
      <c r="VEM90" s="222"/>
      <c r="VEN90" s="222"/>
      <c r="VEO90" s="223"/>
      <c r="VEP90" s="223"/>
      <c r="VEQ90" s="224"/>
      <c r="VER90" s="223"/>
      <c r="VES90" s="223"/>
      <c r="VET90" s="223"/>
      <c r="VEU90" s="223"/>
      <c r="VEV90" s="225"/>
      <c r="VEW90" s="220"/>
      <c r="VEX90" s="221"/>
      <c r="VEY90" s="222"/>
      <c r="VEZ90" s="222"/>
      <c r="VFA90" s="223"/>
      <c r="VFB90" s="223"/>
      <c r="VFC90" s="224"/>
      <c r="VFD90" s="223"/>
      <c r="VFE90" s="223"/>
      <c r="VFF90" s="223"/>
      <c r="VFG90" s="223"/>
      <c r="VFH90" s="225"/>
      <c r="VFI90" s="220"/>
      <c r="VFJ90" s="221"/>
      <c r="VFK90" s="222"/>
      <c r="VFL90" s="222"/>
      <c r="VFM90" s="223"/>
      <c r="VFN90" s="223"/>
      <c r="VFO90" s="224"/>
      <c r="VFP90" s="223"/>
      <c r="VFQ90" s="223"/>
      <c r="VFR90" s="223"/>
      <c r="VFS90" s="223"/>
      <c r="VFT90" s="225"/>
      <c r="VFU90" s="220"/>
      <c r="VFV90" s="221"/>
      <c r="VFW90" s="222"/>
      <c r="VFX90" s="222"/>
      <c r="VFY90" s="223"/>
      <c r="VFZ90" s="223"/>
      <c r="VGA90" s="224"/>
      <c r="VGB90" s="223"/>
      <c r="VGC90" s="223"/>
      <c r="VGD90" s="223"/>
      <c r="VGE90" s="223"/>
      <c r="VGF90" s="225"/>
      <c r="VGG90" s="220"/>
      <c r="VGH90" s="221"/>
      <c r="VGI90" s="222"/>
      <c r="VGJ90" s="222"/>
      <c r="VGK90" s="223"/>
      <c r="VGL90" s="223"/>
      <c r="VGM90" s="224"/>
      <c r="VGN90" s="223"/>
      <c r="VGO90" s="223"/>
      <c r="VGP90" s="223"/>
      <c r="VGQ90" s="223"/>
      <c r="VGR90" s="225"/>
      <c r="VGS90" s="220"/>
      <c r="VGT90" s="221"/>
      <c r="VGU90" s="222"/>
      <c r="VGV90" s="222"/>
      <c r="VGW90" s="223"/>
      <c r="VGX90" s="223"/>
      <c r="VGY90" s="224"/>
      <c r="VGZ90" s="223"/>
      <c r="VHA90" s="223"/>
      <c r="VHB90" s="223"/>
      <c r="VHC90" s="223"/>
      <c r="VHD90" s="225"/>
      <c r="VHE90" s="220"/>
      <c r="VHF90" s="221"/>
      <c r="VHG90" s="222"/>
      <c r="VHH90" s="222"/>
      <c r="VHI90" s="223"/>
      <c r="VHJ90" s="223"/>
      <c r="VHK90" s="224"/>
      <c r="VHL90" s="223"/>
      <c r="VHM90" s="223"/>
      <c r="VHN90" s="223"/>
      <c r="VHO90" s="223"/>
      <c r="VHP90" s="225"/>
      <c r="VHQ90" s="220"/>
      <c r="VHR90" s="221"/>
      <c r="VHS90" s="222"/>
      <c r="VHT90" s="222"/>
      <c r="VHU90" s="223"/>
      <c r="VHV90" s="223"/>
      <c r="VHW90" s="224"/>
      <c r="VHX90" s="223"/>
      <c r="VHY90" s="223"/>
      <c r="VHZ90" s="223"/>
      <c r="VIA90" s="223"/>
      <c r="VIB90" s="225"/>
      <c r="VIC90" s="220"/>
      <c r="VID90" s="221"/>
      <c r="VIE90" s="222"/>
      <c r="VIF90" s="222"/>
      <c r="VIG90" s="223"/>
      <c r="VIH90" s="223"/>
      <c r="VII90" s="224"/>
      <c r="VIJ90" s="223"/>
      <c r="VIK90" s="223"/>
      <c r="VIL90" s="223"/>
      <c r="VIM90" s="223"/>
      <c r="VIN90" s="225"/>
      <c r="VIO90" s="220"/>
      <c r="VIP90" s="221"/>
      <c r="VIQ90" s="222"/>
      <c r="VIR90" s="222"/>
      <c r="VIS90" s="223"/>
      <c r="VIT90" s="223"/>
      <c r="VIU90" s="224"/>
      <c r="VIV90" s="223"/>
      <c r="VIW90" s="223"/>
      <c r="VIX90" s="223"/>
      <c r="VIY90" s="223"/>
      <c r="VIZ90" s="225"/>
      <c r="VJA90" s="220"/>
      <c r="VJB90" s="221"/>
      <c r="VJC90" s="222"/>
      <c r="VJD90" s="222"/>
      <c r="VJE90" s="223"/>
      <c r="VJF90" s="223"/>
      <c r="VJG90" s="224"/>
      <c r="VJH90" s="223"/>
      <c r="VJI90" s="223"/>
      <c r="VJJ90" s="223"/>
      <c r="VJK90" s="223"/>
      <c r="VJL90" s="225"/>
      <c r="VJM90" s="220"/>
      <c r="VJN90" s="221"/>
      <c r="VJO90" s="222"/>
      <c r="VJP90" s="222"/>
      <c r="VJQ90" s="223"/>
      <c r="VJR90" s="223"/>
      <c r="VJS90" s="224"/>
      <c r="VJT90" s="223"/>
      <c r="VJU90" s="223"/>
      <c r="VJV90" s="223"/>
      <c r="VJW90" s="223"/>
      <c r="VJX90" s="225"/>
      <c r="VJY90" s="220"/>
      <c r="VJZ90" s="221"/>
      <c r="VKA90" s="222"/>
      <c r="VKB90" s="222"/>
      <c r="VKC90" s="223"/>
      <c r="VKD90" s="223"/>
      <c r="VKE90" s="224"/>
      <c r="VKF90" s="223"/>
      <c r="VKG90" s="223"/>
      <c r="VKH90" s="223"/>
      <c r="VKI90" s="223"/>
      <c r="VKJ90" s="225"/>
      <c r="VKK90" s="220"/>
      <c r="VKL90" s="221"/>
      <c r="VKM90" s="222"/>
      <c r="VKN90" s="222"/>
      <c r="VKO90" s="223"/>
      <c r="VKP90" s="223"/>
      <c r="VKQ90" s="224"/>
      <c r="VKR90" s="223"/>
      <c r="VKS90" s="223"/>
      <c r="VKT90" s="223"/>
      <c r="VKU90" s="223"/>
      <c r="VKV90" s="225"/>
      <c r="VKW90" s="220"/>
      <c r="VKX90" s="221"/>
      <c r="VKY90" s="222"/>
      <c r="VKZ90" s="222"/>
      <c r="VLA90" s="223"/>
      <c r="VLB90" s="223"/>
      <c r="VLC90" s="224"/>
      <c r="VLD90" s="223"/>
      <c r="VLE90" s="223"/>
      <c r="VLF90" s="223"/>
      <c r="VLG90" s="223"/>
      <c r="VLH90" s="225"/>
      <c r="VLI90" s="220"/>
      <c r="VLJ90" s="221"/>
      <c r="VLK90" s="222"/>
      <c r="VLL90" s="222"/>
      <c r="VLM90" s="223"/>
      <c r="VLN90" s="223"/>
      <c r="VLO90" s="224"/>
      <c r="VLP90" s="223"/>
      <c r="VLQ90" s="223"/>
      <c r="VLR90" s="223"/>
      <c r="VLS90" s="223"/>
      <c r="VLT90" s="225"/>
      <c r="VLU90" s="220"/>
      <c r="VLV90" s="221"/>
      <c r="VLW90" s="222"/>
      <c r="VLX90" s="222"/>
      <c r="VLY90" s="223"/>
      <c r="VLZ90" s="223"/>
      <c r="VMA90" s="224"/>
      <c r="VMB90" s="223"/>
      <c r="VMC90" s="223"/>
      <c r="VMD90" s="223"/>
      <c r="VME90" s="223"/>
      <c r="VMF90" s="225"/>
      <c r="VMG90" s="220"/>
      <c r="VMH90" s="221"/>
      <c r="VMI90" s="222"/>
      <c r="VMJ90" s="222"/>
      <c r="VMK90" s="223"/>
      <c r="VML90" s="223"/>
      <c r="VMM90" s="224"/>
      <c r="VMN90" s="223"/>
      <c r="VMO90" s="223"/>
      <c r="VMP90" s="223"/>
      <c r="VMQ90" s="223"/>
      <c r="VMR90" s="225"/>
      <c r="VMS90" s="220"/>
      <c r="VMT90" s="221"/>
      <c r="VMU90" s="222"/>
      <c r="VMV90" s="222"/>
      <c r="VMW90" s="223"/>
      <c r="VMX90" s="223"/>
      <c r="VMY90" s="224"/>
      <c r="VMZ90" s="223"/>
      <c r="VNA90" s="223"/>
      <c r="VNB90" s="223"/>
      <c r="VNC90" s="223"/>
      <c r="VND90" s="225"/>
      <c r="VNE90" s="220"/>
      <c r="VNF90" s="221"/>
      <c r="VNG90" s="222"/>
      <c r="VNH90" s="222"/>
      <c r="VNI90" s="223"/>
      <c r="VNJ90" s="223"/>
      <c r="VNK90" s="224"/>
      <c r="VNL90" s="223"/>
      <c r="VNM90" s="223"/>
      <c r="VNN90" s="223"/>
      <c r="VNO90" s="223"/>
      <c r="VNP90" s="225"/>
      <c r="VNQ90" s="220"/>
      <c r="VNR90" s="221"/>
      <c r="VNS90" s="222"/>
      <c r="VNT90" s="222"/>
      <c r="VNU90" s="223"/>
      <c r="VNV90" s="223"/>
      <c r="VNW90" s="224"/>
      <c r="VNX90" s="223"/>
      <c r="VNY90" s="223"/>
      <c r="VNZ90" s="223"/>
      <c r="VOA90" s="223"/>
      <c r="VOB90" s="225"/>
      <c r="VOC90" s="220"/>
      <c r="VOD90" s="221"/>
      <c r="VOE90" s="222"/>
      <c r="VOF90" s="222"/>
      <c r="VOG90" s="223"/>
      <c r="VOH90" s="223"/>
      <c r="VOI90" s="224"/>
      <c r="VOJ90" s="223"/>
      <c r="VOK90" s="223"/>
      <c r="VOL90" s="223"/>
      <c r="VOM90" s="223"/>
      <c r="VON90" s="225"/>
      <c r="VOO90" s="220"/>
      <c r="VOP90" s="221"/>
      <c r="VOQ90" s="222"/>
      <c r="VOR90" s="222"/>
      <c r="VOS90" s="223"/>
      <c r="VOT90" s="223"/>
      <c r="VOU90" s="224"/>
      <c r="VOV90" s="223"/>
      <c r="VOW90" s="223"/>
      <c r="VOX90" s="223"/>
      <c r="VOY90" s="223"/>
      <c r="VOZ90" s="225"/>
      <c r="VPA90" s="220"/>
      <c r="VPB90" s="221"/>
      <c r="VPC90" s="222"/>
      <c r="VPD90" s="222"/>
      <c r="VPE90" s="223"/>
      <c r="VPF90" s="223"/>
      <c r="VPG90" s="224"/>
      <c r="VPH90" s="223"/>
      <c r="VPI90" s="223"/>
      <c r="VPJ90" s="223"/>
      <c r="VPK90" s="223"/>
      <c r="VPL90" s="225"/>
      <c r="VPM90" s="220"/>
      <c r="VPN90" s="221"/>
      <c r="VPO90" s="222"/>
      <c r="VPP90" s="222"/>
      <c r="VPQ90" s="223"/>
      <c r="VPR90" s="223"/>
      <c r="VPS90" s="224"/>
      <c r="VPT90" s="223"/>
      <c r="VPU90" s="223"/>
      <c r="VPV90" s="223"/>
      <c r="VPW90" s="223"/>
      <c r="VPX90" s="225"/>
      <c r="VPY90" s="220"/>
      <c r="VPZ90" s="221"/>
      <c r="VQA90" s="222"/>
      <c r="VQB90" s="222"/>
      <c r="VQC90" s="223"/>
      <c r="VQD90" s="223"/>
      <c r="VQE90" s="224"/>
      <c r="VQF90" s="223"/>
      <c r="VQG90" s="223"/>
      <c r="VQH90" s="223"/>
      <c r="VQI90" s="223"/>
      <c r="VQJ90" s="225"/>
      <c r="VQK90" s="220"/>
      <c r="VQL90" s="221"/>
      <c r="VQM90" s="222"/>
      <c r="VQN90" s="222"/>
      <c r="VQO90" s="223"/>
      <c r="VQP90" s="223"/>
      <c r="VQQ90" s="224"/>
      <c r="VQR90" s="223"/>
      <c r="VQS90" s="223"/>
      <c r="VQT90" s="223"/>
      <c r="VQU90" s="223"/>
      <c r="VQV90" s="225"/>
      <c r="VQW90" s="220"/>
      <c r="VQX90" s="221"/>
      <c r="VQY90" s="222"/>
      <c r="VQZ90" s="222"/>
      <c r="VRA90" s="223"/>
      <c r="VRB90" s="223"/>
      <c r="VRC90" s="224"/>
      <c r="VRD90" s="223"/>
      <c r="VRE90" s="223"/>
      <c r="VRF90" s="223"/>
      <c r="VRG90" s="223"/>
      <c r="VRH90" s="225"/>
      <c r="VRI90" s="220"/>
      <c r="VRJ90" s="221"/>
      <c r="VRK90" s="222"/>
      <c r="VRL90" s="222"/>
      <c r="VRM90" s="223"/>
      <c r="VRN90" s="223"/>
      <c r="VRO90" s="224"/>
      <c r="VRP90" s="223"/>
      <c r="VRQ90" s="223"/>
      <c r="VRR90" s="223"/>
      <c r="VRS90" s="223"/>
      <c r="VRT90" s="225"/>
      <c r="VRU90" s="220"/>
      <c r="VRV90" s="221"/>
      <c r="VRW90" s="222"/>
      <c r="VRX90" s="222"/>
      <c r="VRY90" s="223"/>
      <c r="VRZ90" s="223"/>
      <c r="VSA90" s="224"/>
      <c r="VSB90" s="223"/>
      <c r="VSC90" s="223"/>
      <c r="VSD90" s="223"/>
      <c r="VSE90" s="223"/>
      <c r="VSF90" s="225"/>
      <c r="VSG90" s="220"/>
      <c r="VSH90" s="221"/>
      <c r="VSI90" s="222"/>
      <c r="VSJ90" s="222"/>
      <c r="VSK90" s="223"/>
      <c r="VSL90" s="223"/>
      <c r="VSM90" s="224"/>
      <c r="VSN90" s="223"/>
      <c r="VSO90" s="223"/>
      <c r="VSP90" s="223"/>
      <c r="VSQ90" s="223"/>
      <c r="VSR90" s="225"/>
      <c r="VSS90" s="220"/>
      <c r="VST90" s="221"/>
      <c r="VSU90" s="222"/>
      <c r="VSV90" s="222"/>
      <c r="VSW90" s="223"/>
      <c r="VSX90" s="223"/>
      <c r="VSY90" s="224"/>
      <c r="VSZ90" s="223"/>
      <c r="VTA90" s="223"/>
      <c r="VTB90" s="223"/>
      <c r="VTC90" s="223"/>
      <c r="VTD90" s="225"/>
      <c r="VTE90" s="220"/>
      <c r="VTF90" s="221"/>
      <c r="VTG90" s="222"/>
      <c r="VTH90" s="222"/>
      <c r="VTI90" s="223"/>
      <c r="VTJ90" s="223"/>
      <c r="VTK90" s="224"/>
      <c r="VTL90" s="223"/>
      <c r="VTM90" s="223"/>
      <c r="VTN90" s="223"/>
      <c r="VTO90" s="223"/>
      <c r="VTP90" s="225"/>
      <c r="VTQ90" s="220"/>
      <c r="VTR90" s="221"/>
      <c r="VTS90" s="222"/>
      <c r="VTT90" s="222"/>
      <c r="VTU90" s="223"/>
      <c r="VTV90" s="223"/>
      <c r="VTW90" s="224"/>
      <c r="VTX90" s="223"/>
      <c r="VTY90" s="223"/>
      <c r="VTZ90" s="223"/>
      <c r="VUA90" s="223"/>
      <c r="VUB90" s="225"/>
      <c r="VUC90" s="220"/>
      <c r="VUD90" s="221"/>
      <c r="VUE90" s="222"/>
      <c r="VUF90" s="222"/>
      <c r="VUG90" s="223"/>
      <c r="VUH90" s="223"/>
      <c r="VUI90" s="224"/>
      <c r="VUJ90" s="223"/>
      <c r="VUK90" s="223"/>
      <c r="VUL90" s="223"/>
      <c r="VUM90" s="223"/>
      <c r="VUN90" s="225"/>
      <c r="VUO90" s="220"/>
      <c r="VUP90" s="221"/>
      <c r="VUQ90" s="222"/>
      <c r="VUR90" s="222"/>
      <c r="VUS90" s="223"/>
      <c r="VUT90" s="223"/>
      <c r="VUU90" s="224"/>
      <c r="VUV90" s="223"/>
      <c r="VUW90" s="223"/>
      <c r="VUX90" s="223"/>
      <c r="VUY90" s="223"/>
      <c r="VUZ90" s="225"/>
      <c r="VVA90" s="220"/>
      <c r="VVB90" s="221"/>
      <c r="VVC90" s="222"/>
      <c r="VVD90" s="222"/>
      <c r="VVE90" s="223"/>
      <c r="VVF90" s="223"/>
      <c r="VVG90" s="224"/>
      <c r="VVH90" s="223"/>
      <c r="VVI90" s="223"/>
      <c r="VVJ90" s="223"/>
      <c r="VVK90" s="223"/>
      <c r="VVL90" s="225"/>
      <c r="VVM90" s="220"/>
      <c r="VVN90" s="221"/>
      <c r="VVO90" s="222"/>
      <c r="VVP90" s="222"/>
      <c r="VVQ90" s="223"/>
      <c r="VVR90" s="223"/>
      <c r="VVS90" s="224"/>
      <c r="VVT90" s="223"/>
      <c r="VVU90" s="223"/>
      <c r="VVV90" s="223"/>
      <c r="VVW90" s="223"/>
      <c r="VVX90" s="225"/>
      <c r="VVY90" s="220"/>
      <c r="VVZ90" s="221"/>
      <c r="VWA90" s="222"/>
      <c r="VWB90" s="222"/>
      <c r="VWC90" s="223"/>
      <c r="VWD90" s="223"/>
      <c r="VWE90" s="224"/>
      <c r="VWF90" s="223"/>
      <c r="VWG90" s="223"/>
      <c r="VWH90" s="223"/>
      <c r="VWI90" s="223"/>
      <c r="VWJ90" s="225"/>
      <c r="VWK90" s="220"/>
      <c r="VWL90" s="221"/>
      <c r="VWM90" s="222"/>
      <c r="VWN90" s="222"/>
      <c r="VWO90" s="223"/>
      <c r="VWP90" s="223"/>
      <c r="VWQ90" s="224"/>
      <c r="VWR90" s="223"/>
      <c r="VWS90" s="223"/>
      <c r="VWT90" s="223"/>
      <c r="VWU90" s="223"/>
      <c r="VWV90" s="225"/>
      <c r="VWW90" s="220"/>
      <c r="VWX90" s="221"/>
      <c r="VWY90" s="222"/>
      <c r="VWZ90" s="222"/>
      <c r="VXA90" s="223"/>
      <c r="VXB90" s="223"/>
      <c r="VXC90" s="224"/>
      <c r="VXD90" s="223"/>
      <c r="VXE90" s="223"/>
      <c r="VXF90" s="223"/>
      <c r="VXG90" s="223"/>
      <c r="VXH90" s="225"/>
      <c r="VXI90" s="220"/>
      <c r="VXJ90" s="221"/>
      <c r="VXK90" s="222"/>
      <c r="VXL90" s="222"/>
      <c r="VXM90" s="223"/>
      <c r="VXN90" s="223"/>
      <c r="VXO90" s="224"/>
      <c r="VXP90" s="223"/>
      <c r="VXQ90" s="223"/>
      <c r="VXR90" s="223"/>
      <c r="VXS90" s="223"/>
      <c r="VXT90" s="225"/>
      <c r="VXU90" s="220"/>
      <c r="VXV90" s="221"/>
      <c r="VXW90" s="222"/>
      <c r="VXX90" s="222"/>
      <c r="VXY90" s="223"/>
      <c r="VXZ90" s="223"/>
      <c r="VYA90" s="224"/>
      <c r="VYB90" s="223"/>
      <c r="VYC90" s="223"/>
      <c r="VYD90" s="223"/>
      <c r="VYE90" s="223"/>
      <c r="VYF90" s="225"/>
      <c r="VYG90" s="220"/>
      <c r="VYH90" s="221"/>
      <c r="VYI90" s="222"/>
      <c r="VYJ90" s="222"/>
      <c r="VYK90" s="223"/>
      <c r="VYL90" s="223"/>
      <c r="VYM90" s="224"/>
      <c r="VYN90" s="223"/>
      <c r="VYO90" s="223"/>
      <c r="VYP90" s="223"/>
      <c r="VYQ90" s="223"/>
      <c r="VYR90" s="225"/>
      <c r="VYS90" s="220"/>
      <c r="VYT90" s="221"/>
      <c r="VYU90" s="222"/>
      <c r="VYV90" s="222"/>
      <c r="VYW90" s="223"/>
      <c r="VYX90" s="223"/>
      <c r="VYY90" s="224"/>
      <c r="VYZ90" s="223"/>
      <c r="VZA90" s="223"/>
      <c r="VZB90" s="223"/>
      <c r="VZC90" s="223"/>
      <c r="VZD90" s="225"/>
      <c r="VZE90" s="220"/>
      <c r="VZF90" s="221"/>
      <c r="VZG90" s="222"/>
      <c r="VZH90" s="222"/>
      <c r="VZI90" s="223"/>
      <c r="VZJ90" s="223"/>
      <c r="VZK90" s="224"/>
      <c r="VZL90" s="223"/>
      <c r="VZM90" s="223"/>
      <c r="VZN90" s="223"/>
      <c r="VZO90" s="223"/>
      <c r="VZP90" s="225"/>
      <c r="VZQ90" s="220"/>
      <c r="VZR90" s="221"/>
      <c r="VZS90" s="222"/>
      <c r="VZT90" s="222"/>
      <c r="VZU90" s="223"/>
      <c r="VZV90" s="223"/>
      <c r="VZW90" s="224"/>
      <c r="VZX90" s="223"/>
      <c r="VZY90" s="223"/>
      <c r="VZZ90" s="223"/>
      <c r="WAA90" s="223"/>
      <c r="WAB90" s="225"/>
      <c r="WAC90" s="220"/>
      <c r="WAD90" s="221"/>
      <c r="WAE90" s="222"/>
      <c r="WAF90" s="222"/>
      <c r="WAG90" s="223"/>
      <c r="WAH90" s="223"/>
      <c r="WAI90" s="224"/>
      <c r="WAJ90" s="223"/>
      <c r="WAK90" s="223"/>
      <c r="WAL90" s="223"/>
      <c r="WAM90" s="223"/>
      <c r="WAN90" s="225"/>
      <c r="WAO90" s="220"/>
      <c r="WAP90" s="221"/>
      <c r="WAQ90" s="222"/>
      <c r="WAR90" s="222"/>
      <c r="WAS90" s="223"/>
      <c r="WAT90" s="223"/>
      <c r="WAU90" s="224"/>
      <c r="WAV90" s="223"/>
      <c r="WAW90" s="223"/>
      <c r="WAX90" s="223"/>
      <c r="WAY90" s="223"/>
      <c r="WAZ90" s="225"/>
      <c r="WBA90" s="220"/>
      <c r="WBB90" s="221"/>
      <c r="WBC90" s="222"/>
      <c r="WBD90" s="222"/>
      <c r="WBE90" s="223"/>
      <c r="WBF90" s="223"/>
      <c r="WBG90" s="224"/>
      <c r="WBH90" s="223"/>
      <c r="WBI90" s="223"/>
      <c r="WBJ90" s="223"/>
      <c r="WBK90" s="223"/>
      <c r="WBL90" s="225"/>
      <c r="WBM90" s="220"/>
      <c r="WBN90" s="221"/>
      <c r="WBO90" s="222"/>
      <c r="WBP90" s="222"/>
      <c r="WBQ90" s="223"/>
      <c r="WBR90" s="223"/>
      <c r="WBS90" s="224"/>
      <c r="WBT90" s="223"/>
      <c r="WBU90" s="223"/>
      <c r="WBV90" s="223"/>
      <c r="WBW90" s="223"/>
      <c r="WBX90" s="225"/>
      <c r="WBY90" s="220"/>
      <c r="WBZ90" s="221"/>
      <c r="WCA90" s="222"/>
      <c r="WCB90" s="222"/>
      <c r="WCC90" s="223"/>
      <c r="WCD90" s="223"/>
      <c r="WCE90" s="224"/>
      <c r="WCF90" s="223"/>
      <c r="WCG90" s="223"/>
      <c r="WCH90" s="223"/>
      <c r="WCI90" s="223"/>
      <c r="WCJ90" s="225"/>
      <c r="WCK90" s="220"/>
      <c r="WCL90" s="221"/>
      <c r="WCM90" s="222"/>
      <c r="WCN90" s="222"/>
      <c r="WCO90" s="223"/>
      <c r="WCP90" s="223"/>
      <c r="WCQ90" s="224"/>
      <c r="WCR90" s="223"/>
      <c r="WCS90" s="223"/>
      <c r="WCT90" s="223"/>
      <c r="WCU90" s="223"/>
      <c r="WCV90" s="225"/>
      <c r="WCW90" s="220"/>
      <c r="WCX90" s="221"/>
      <c r="WCY90" s="222"/>
      <c r="WCZ90" s="222"/>
      <c r="WDA90" s="223"/>
      <c r="WDB90" s="223"/>
      <c r="WDC90" s="224"/>
      <c r="WDD90" s="223"/>
      <c r="WDE90" s="223"/>
      <c r="WDF90" s="223"/>
      <c r="WDG90" s="223"/>
      <c r="WDH90" s="225"/>
      <c r="WDI90" s="220"/>
      <c r="WDJ90" s="221"/>
      <c r="WDK90" s="222"/>
      <c r="WDL90" s="222"/>
      <c r="WDM90" s="223"/>
      <c r="WDN90" s="223"/>
      <c r="WDO90" s="224"/>
      <c r="WDP90" s="223"/>
      <c r="WDQ90" s="223"/>
      <c r="WDR90" s="223"/>
      <c r="WDS90" s="223"/>
      <c r="WDT90" s="225"/>
      <c r="WDU90" s="220"/>
      <c r="WDV90" s="221"/>
      <c r="WDW90" s="222"/>
      <c r="WDX90" s="222"/>
      <c r="WDY90" s="223"/>
      <c r="WDZ90" s="223"/>
      <c r="WEA90" s="224"/>
      <c r="WEB90" s="223"/>
      <c r="WEC90" s="223"/>
      <c r="WED90" s="223"/>
      <c r="WEE90" s="223"/>
      <c r="WEF90" s="225"/>
      <c r="WEG90" s="220"/>
      <c r="WEH90" s="221"/>
      <c r="WEI90" s="222"/>
      <c r="WEJ90" s="222"/>
      <c r="WEK90" s="223"/>
      <c r="WEL90" s="223"/>
      <c r="WEM90" s="224"/>
      <c r="WEN90" s="223"/>
      <c r="WEO90" s="223"/>
      <c r="WEP90" s="223"/>
      <c r="WEQ90" s="223"/>
      <c r="WER90" s="225"/>
      <c r="WES90" s="220"/>
      <c r="WET90" s="221"/>
      <c r="WEU90" s="222"/>
      <c r="WEV90" s="222"/>
      <c r="WEW90" s="223"/>
      <c r="WEX90" s="223"/>
      <c r="WEY90" s="224"/>
      <c r="WEZ90" s="223"/>
      <c r="WFA90" s="223"/>
      <c r="WFB90" s="223"/>
      <c r="WFC90" s="223"/>
      <c r="WFD90" s="225"/>
      <c r="WFE90" s="220"/>
      <c r="WFF90" s="221"/>
      <c r="WFG90" s="222"/>
      <c r="WFH90" s="222"/>
      <c r="WFI90" s="223"/>
      <c r="WFJ90" s="223"/>
      <c r="WFK90" s="224"/>
      <c r="WFL90" s="223"/>
      <c r="WFM90" s="223"/>
      <c r="WFN90" s="223"/>
      <c r="WFO90" s="223"/>
      <c r="WFP90" s="225"/>
      <c r="WFQ90" s="220"/>
      <c r="WFR90" s="221"/>
      <c r="WFS90" s="222"/>
      <c r="WFT90" s="222"/>
      <c r="WFU90" s="223"/>
      <c r="WFV90" s="223"/>
      <c r="WFW90" s="224"/>
      <c r="WFX90" s="223"/>
      <c r="WFY90" s="223"/>
      <c r="WFZ90" s="223"/>
      <c r="WGA90" s="223"/>
      <c r="WGB90" s="225"/>
      <c r="WGC90" s="220"/>
      <c r="WGD90" s="221"/>
      <c r="WGE90" s="222"/>
      <c r="WGF90" s="222"/>
      <c r="WGG90" s="223"/>
      <c r="WGH90" s="223"/>
      <c r="WGI90" s="224"/>
      <c r="WGJ90" s="223"/>
      <c r="WGK90" s="223"/>
      <c r="WGL90" s="223"/>
      <c r="WGM90" s="223"/>
      <c r="WGN90" s="225"/>
      <c r="WGO90" s="220"/>
      <c r="WGP90" s="221"/>
      <c r="WGQ90" s="222"/>
      <c r="WGR90" s="222"/>
      <c r="WGS90" s="223"/>
      <c r="WGT90" s="223"/>
      <c r="WGU90" s="224"/>
      <c r="WGV90" s="223"/>
      <c r="WGW90" s="223"/>
      <c r="WGX90" s="223"/>
      <c r="WGY90" s="223"/>
      <c r="WGZ90" s="225"/>
      <c r="WHA90" s="220"/>
      <c r="WHB90" s="221"/>
      <c r="WHC90" s="222"/>
      <c r="WHD90" s="222"/>
      <c r="WHE90" s="223"/>
      <c r="WHF90" s="223"/>
      <c r="WHG90" s="224"/>
      <c r="WHH90" s="223"/>
      <c r="WHI90" s="223"/>
      <c r="WHJ90" s="223"/>
      <c r="WHK90" s="223"/>
      <c r="WHL90" s="225"/>
      <c r="WHM90" s="220"/>
      <c r="WHN90" s="221"/>
      <c r="WHO90" s="222"/>
      <c r="WHP90" s="222"/>
      <c r="WHQ90" s="223"/>
      <c r="WHR90" s="223"/>
      <c r="WHS90" s="224"/>
      <c r="WHT90" s="223"/>
      <c r="WHU90" s="223"/>
      <c r="WHV90" s="223"/>
      <c r="WHW90" s="223"/>
      <c r="WHX90" s="225"/>
      <c r="WHY90" s="220"/>
      <c r="WHZ90" s="221"/>
      <c r="WIA90" s="222"/>
      <c r="WIB90" s="222"/>
      <c r="WIC90" s="223"/>
      <c r="WID90" s="223"/>
      <c r="WIE90" s="224"/>
      <c r="WIF90" s="223"/>
      <c r="WIG90" s="223"/>
      <c r="WIH90" s="223"/>
      <c r="WII90" s="223"/>
      <c r="WIJ90" s="225"/>
      <c r="WIK90" s="220"/>
      <c r="WIL90" s="221"/>
      <c r="WIM90" s="222"/>
      <c r="WIN90" s="222"/>
      <c r="WIO90" s="223"/>
      <c r="WIP90" s="223"/>
      <c r="WIQ90" s="224"/>
      <c r="WIR90" s="223"/>
      <c r="WIS90" s="223"/>
      <c r="WIT90" s="223"/>
      <c r="WIU90" s="223"/>
      <c r="WIV90" s="225"/>
      <c r="WIW90" s="220"/>
      <c r="WIX90" s="221"/>
      <c r="WIY90" s="222"/>
      <c r="WIZ90" s="222"/>
      <c r="WJA90" s="223"/>
      <c r="WJB90" s="223"/>
      <c r="WJC90" s="224"/>
      <c r="WJD90" s="223"/>
      <c r="WJE90" s="223"/>
      <c r="WJF90" s="223"/>
      <c r="WJG90" s="223"/>
      <c r="WJH90" s="225"/>
      <c r="WJI90" s="220"/>
      <c r="WJJ90" s="221"/>
      <c r="WJK90" s="222"/>
      <c r="WJL90" s="222"/>
      <c r="WJM90" s="223"/>
      <c r="WJN90" s="223"/>
      <c r="WJO90" s="224"/>
      <c r="WJP90" s="223"/>
      <c r="WJQ90" s="223"/>
      <c r="WJR90" s="223"/>
      <c r="WJS90" s="223"/>
      <c r="WJT90" s="225"/>
      <c r="WJU90" s="220"/>
      <c r="WJV90" s="221"/>
      <c r="WJW90" s="222"/>
      <c r="WJX90" s="222"/>
      <c r="WJY90" s="223"/>
      <c r="WJZ90" s="223"/>
      <c r="WKA90" s="224"/>
      <c r="WKB90" s="223"/>
      <c r="WKC90" s="223"/>
      <c r="WKD90" s="223"/>
      <c r="WKE90" s="223"/>
      <c r="WKF90" s="225"/>
      <c r="WKG90" s="220"/>
      <c r="WKH90" s="221"/>
      <c r="WKI90" s="222"/>
      <c r="WKJ90" s="222"/>
      <c r="WKK90" s="223"/>
      <c r="WKL90" s="223"/>
      <c r="WKM90" s="224"/>
      <c r="WKN90" s="223"/>
      <c r="WKO90" s="223"/>
      <c r="WKP90" s="223"/>
      <c r="WKQ90" s="223"/>
      <c r="WKR90" s="225"/>
      <c r="WKS90" s="220"/>
      <c r="WKT90" s="221"/>
      <c r="WKU90" s="222"/>
      <c r="WKV90" s="222"/>
      <c r="WKW90" s="223"/>
      <c r="WKX90" s="223"/>
      <c r="WKY90" s="224"/>
      <c r="WKZ90" s="223"/>
      <c r="WLA90" s="223"/>
      <c r="WLB90" s="223"/>
      <c r="WLC90" s="223"/>
      <c r="WLD90" s="225"/>
      <c r="WLE90" s="220"/>
      <c r="WLF90" s="221"/>
      <c r="WLG90" s="222"/>
      <c r="WLH90" s="222"/>
      <c r="WLI90" s="223"/>
      <c r="WLJ90" s="223"/>
      <c r="WLK90" s="224"/>
      <c r="WLL90" s="223"/>
      <c r="WLM90" s="223"/>
      <c r="WLN90" s="223"/>
      <c r="WLO90" s="223"/>
      <c r="WLP90" s="225"/>
      <c r="WLQ90" s="220"/>
      <c r="WLR90" s="221"/>
      <c r="WLS90" s="222"/>
      <c r="WLT90" s="222"/>
      <c r="WLU90" s="223"/>
      <c r="WLV90" s="223"/>
      <c r="WLW90" s="224"/>
      <c r="WLX90" s="223"/>
      <c r="WLY90" s="223"/>
      <c r="WLZ90" s="223"/>
      <c r="WMA90" s="223"/>
      <c r="WMB90" s="225"/>
      <c r="WMC90" s="220"/>
      <c r="WMD90" s="221"/>
      <c r="WME90" s="222"/>
      <c r="WMF90" s="222"/>
      <c r="WMG90" s="223"/>
      <c r="WMH90" s="223"/>
      <c r="WMI90" s="224"/>
      <c r="WMJ90" s="223"/>
      <c r="WMK90" s="223"/>
      <c r="WML90" s="223"/>
      <c r="WMM90" s="223"/>
      <c r="WMN90" s="225"/>
      <c r="WMO90" s="220"/>
      <c r="WMP90" s="221"/>
      <c r="WMQ90" s="222"/>
      <c r="WMR90" s="222"/>
      <c r="WMS90" s="223"/>
      <c r="WMT90" s="223"/>
      <c r="WMU90" s="224"/>
      <c r="WMV90" s="223"/>
      <c r="WMW90" s="223"/>
      <c r="WMX90" s="223"/>
      <c r="WMY90" s="223"/>
      <c r="WMZ90" s="225"/>
      <c r="WNA90" s="220"/>
      <c r="WNB90" s="221"/>
      <c r="WNC90" s="222"/>
      <c r="WND90" s="222"/>
      <c r="WNE90" s="223"/>
      <c r="WNF90" s="223"/>
      <c r="WNG90" s="224"/>
      <c r="WNH90" s="223"/>
      <c r="WNI90" s="223"/>
      <c r="WNJ90" s="223"/>
      <c r="WNK90" s="223"/>
      <c r="WNL90" s="225"/>
      <c r="WNM90" s="220"/>
      <c r="WNN90" s="221"/>
      <c r="WNO90" s="222"/>
      <c r="WNP90" s="222"/>
      <c r="WNQ90" s="223"/>
      <c r="WNR90" s="223"/>
      <c r="WNS90" s="224"/>
      <c r="WNT90" s="223"/>
      <c r="WNU90" s="223"/>
      <c r="WNV90" s="223"/>
      <c r="WNW90" s="223"/>
      <c r="WNX90" s="225"/>
      <c r="WNY90" s="220"/>
      <c r="WNZ90" s="221"/>
      <c r="WOA90" s="222"/>
      <c r="WOB90" s="222"/>
      <c r="WOC90" s="223"/>
      <c r="WOD90" s="223"/>
      <c r="WOE90" s="224"/>
      <c r="WOF90" s="223"/>
      <c r="WOG90" s="223"/>
      <c r="WOH90" s="223"/>
      <c r="WOI90" s="223"/>
      <c r="WOJ90" s="225"/>
      <c r="WOK90" s="220"/>
      <c r="WOL90" s="221"/>
      <c r="WOM90" s="222"/>
      <c r="WON90" s="222"/>
      <c r="WOO90" s="223"/>
      <c r="WOP90" s="223"/>
      <c r="WOQ90" s="224"/>
      <c r="WOR90" s="223"/>
      <c r="WOS90" s="223"/>
      <c r="WOT90" s="223"/>
      <c r="WOU90" s="223"/>
      <c r="WOV90" s="225"/>
      <c r="WOW90" s="220"/>
      <c r="WOX90" s="221"/>
      <c r="WOY90" s="222"/>
      <c r="WOZ90" s="222"/>
      <c r="WPA90" s="223"/>
      <c r="WPB90" s="223"/>
      <c r="WPC90" s="224"/>
      <c r="WPD90" s="223"/>
      <c r="WPE90" s="223"/>
      <c r="WPF90" s="223"/>
      <c r="WPG90" s="223"/>
      <c r="WPH90" s="225"/>
      <c r="WPI90" s="220"/>
      <c r="WPJ90" s="221"/>
      <c r="WPK90" s="222"/>
      <c r="WPL90" s="222"/>
      <c r="WPM90" s="223"/>
      <c r="WPN90" s="223"/>
      <c r="WPO90" s="224"/>
      <c r="WPP90" s="223"/>
      <c r="WPQ90" s="223"/>
      <c r="WPR90" s="223"/>
      <c r="WPS90" s="223"/>
      <c r="WPT90" s="225"/>
      <c r="WPU90" s="220"/>
      <c r="WPV90" s="221"/>
      <c r="WPW90" s="222"/>
      <c r="WPX90" s="222"/>
      <c r="WPY90" s="223"/>
      <c r="WPZ90" s="223"/>
      <c r="WQA90" s="224"/>
      <c r="WQB90" s="223"/>
      <c r="WQC90" s="223"/>
      <c r="WQD90" s="223"/>
      <c r="WQE90" s="223"/>
      <c r="WQF90" s="225"/>
      <c r="WQG90" s="220"/>
      <c r="WQH90" s="221"/>
      <c r="WQI90" s="222"/>
      <c r="WQJ90" s="222"/>
      <c r="WQK90" s="223"/>
      <c r="WQL90" s="223"/>
      <c r="WQM90" s="224"/>
      <c r="WQN90" s="223"/>
      <c r="WQO90" s="223"/>
      <c r="WQP90" s="223"/>
      <c r="WQQ90" s="223"/>
      <c r="WQR90" s="225"/>
      <c r="WQS90" s="220"/>
      <c r="WQT90" s="221"/>
      <c r="WQU90" s="222"/>
      <c r="WQV90" s="222"/>
      <c r="WQW90" s="223"/>
      <c r="WQX90" s="223"/>
      <c r="WQY90" s="224"/>
      <c r="WQZ90" s="223"/>
      <c r="WRA90" s="223"/>
      <c r="WRB90" s="223"/>
      <c r="WRC90" s="223"/>
      <c r="WRD90" s="225"/>
      <c r="WRE90" s="220"/>
      <c r="WRF90" s="221"/>
      <c r="WRG90" s="222"/>
      <c r="WRH90" s="222"/>
      <c r="WRI90" s="223"/>
      <c r="WRJ90" s="223"/>
      <c r="WRK90" s="224"/>
      <c r="WRL90" s="223"/>
      <c r="WRM90" s="223"/>
      <c r="WRN90" s="223"/>
      <c r="WRO90" s="223"/>
      <c r="WRP90" s="225"/>
      <c r="WRQ90" s="220"/>
      <c r="WRR90" s="221"/>
      <c r="WRS90" s="222"/>
      <c r="WRT90" s="222"/>
      <c r="WRU90" s="223"/>
      <c r="WRV90" s="223"/>
      <c r="WRW90" s="224"/>
      <c r="WRX90" s="223"/>
      <c r="WRY90" s="223"/>
      <c r="WRZ90" s="223"/>
      <c r="WSA90" s="223"/>
      <c r="WSB90" s="225"/>
      <c r="WSC90" s="220"/>
      <c r="WSD90" s="221"/>
      <c r="WSE90" s="222"/>
      <c r="WSF90" s="222"/>
      <c r="WSG90" s="223"/>
      <c r="WSH90" s="223"/>
      <c r="WSI90" s="224"/>
      <c r="WSJ90" s="223"/>
      <c r="WSK90" s="223"/>
      <c r="WSL90" s="223"/>
      <c r="WSM90" s="223"/>
      <c r="WSN90" s="225"/>
      <c r="WSO90" s="220"/>
      <c r="WSP90" s="221"/>
      <c r="WSQ90" s="222"/>
      <c r="WSR90" s="222"/>
      <c r="WSS90" s="223"/>
      <c r="WST90" s="223"/>
      <c r="WSU90" s="224"/>
      <c r="WSV90" s="223"/>
      <c r="WSW90" s="223"/>
      <c r="WSX90" s="223"/>
      <c r="WSY90" s="223"/>
      <c r="WSZ90" s="225"/>
      <c r="WTA90" s="220"/>
      <c r="WTB90" s="221"/>
      <c r="WTC90" s="222"/>
      <c r="WTD90" s="222"/>
      <c r="WTE90" s="223"/>
      <c r="WTF90" s="223"/>
      <c r="WTG90" s="224"/>
      <c r="WTH90" s="223"/>
      <c r="WTI90" s="223"/>
      <c r="WTJ90" s="223"/>
      <c r="WTK90" s="223"/>
      <c r="WTL90" s="225"/>
      <c r="WTM90" s="220"/>
      <c r="WTN90" s="221"/>
      <c r="WTO90" s="222"/>
      <c r="WTP90" s="222"/>
      <c r="WTQ90" s="223"/>
      <c r="WTR90" s="223"/>
      <c r="WTS90" s="224"/>
      <c r="WTT90" s="223"/>
      <c r="WTU90" s="223"/>
      <c r="WTV90" s="223"/>
      <c r="WTW90" s="223"/>
      <c r="WTX90" s="225"/>
      <c r="WTY90" s="220"/>
      <c r="WTZ90" s="221"/>
      <c r="WUA90" s="222"/>
      <c r="WUB90" s="222"/>
      <c r="WUC90" s="223"/>
      <c r="WUD90" s="223"/>
      <c r="WUE90" s="224"/>
      <c r="WUF90" s="223"/>
      <c r="WUG90" s="223"/>
      <c r="WUH90" s="223"/>
      <c r="WUI90" s="223"/>
      <c r="WUJ90" s="225"/>
      <c r="WUK90" s="220"/>
      <c r="WUL90" s="221"/>
      <c r="WUM90" s="222"/>
      <c r="WUN90" s="222"/>
      <c r="WUO90" s="223"/>
      <c r="WUP90" s="223"/>
      <c r="WUQ90" s="224"/>
      <c r="WUR90" s="223"/>
      <c r="WUS90" s="223"/>
      <c r="WUT90" s="223"/>
      <c r="WUU90" s="223"/>
      <c r="WUV90" s="225"/>
      <c r="WUW90" s="220"/>
      <c r="WUX90" s="221"/>
      <c r="WUY90" s="222"/>
      <c r="WUZ90" s="222"/>
      <c r="WVA90" s="223"/>
      <c r="WVB90" s="223"/>
      <c r="WVC90" s="224"/>
      <c r="WVD90" s="223"/>
      <c r="WVE90" s="223"/>
      <c r="WVF90" s="223"/>
      <c r="WVG90" s="223"/>
      <c r="WVH90" s="225"/>
      <c r="WVI90" s="220"/>
      <c r="WVJ90" s="221"/>
      <c r="WVK90" s="222"/>
      <c r="WVL90" s="222"/>
      <c r="WVM90" s="223"/>
      <c r="WVN90" s="223"/>
      <c r="WVO90" s="224"/>
      <c r="WVP90" s="223"/>
      <c r="WVQ90" s="223"/>
      <c r="WVR90" s="223"/>
      <c r="WVS90" s="223"/>
      <c r="WVT90" s="225"/>
      <c r="WVU90" s="220"/>
      <c r="WVV90" s="221"/>
      <c r="WVW90" s="222"/>
      <c r="WVX90" s="222"/>
      <c r="WVY90" s="223"/>
      <c r="WVZ90" s="223"/>
      <c r="WWA90" s="224"/>
      <c r="WWB90" s="223"/>
      <c r="WWC90" s="223"/>
      <c r="WWD90" s="223"/>
      <c r="WWE90" s="223"/>
      <c r="WWF90" s="225"/>
      <c r="WWG90" s="220"/>
      <c r="WWH90" s="221"/>
      <c r="WWI90" s="222"/>
      <c r="WWJ90" s="222"/>
      <c r="WWK90" s="223"/>
      <c r="WWL90" s="223"/>
      <c r="WWM90" s="224"/>
      <c r="WWN90" s="223"/>
      <c r="WWO90" s="223"/>
      <c r="WWP90" s="223"/>
      <c r="WWQ90" s="223"/>
      <c r="WWR90" s="225"/>
      <c r="WWS90" s="220"/>
      <c r="WWT90" s="221"/>
      <c r="WWU90" s="222"/>
      <c r="WWV90" s="222"/>
      <c r="WWW90" s="223"/>
      <c r="WWX90" s="223"/>
      <c r="WWY90" s="224"/>
      <c r="WWZ90" s="223"/>
      <c r="WXA90" s="223"/>
      <c r="WXB90" s="223"/>
      <c r="WXC90" s="223"/>
      <c r="WXD90" s="225"/>
      <c r="WXE90" s="220"/>
      <c r="WXF90" s="221"/>
      <c r="WXG90" s="222"/>
      <c r="WXH90" s="222"/>
      <c r="WXI90" s="223"/>
      <c r="WXJ90" s="223"/>
      <c r="WXK90" s="224"/>
      <c r="WXL90" s="223"/>
      <c r="WXM90" s="223"/>
      <c r="WXN90" s="223"/>
      <c r="WXO90" s="223"/>
      <c r="WXP90" s="225"/>
      <c r="WXQ90" s="220"/>
      <c r="WXR90" s="221"/>
      <c r="WXS90" s="222"/>
      <c r="WXT90" s="222"/>
      <c r="WXU90" s="223"/>
      <c r="WXV90" s="223"/>
      <c r="WXW90" s="224"/>
      <c r="WXX90" s="223"/>
      <c r="WXY90" s="223"/>
      <c r="WXZ90" s="223"/>
      <c r="WYA90" s="223"/>
      <c r="WYB90" s="225"/>
      <c r="WYC90" s="220"/>
      <c r="WYD90" s="221"/>
      <c r="WYE90" s="222"/>
      <c r="WYF90" s="222"/>
      <c r="WYG90" s="223"/>
      <c r="WYH90" s="223"/>
      <c r="WYI90" s="224"/>
      <c r="WYJ90" s="223"/>
      <c r="WYK90" s="223"/>
      <c r="WYL90" s="223"/>
      <c r="WYM90" s="223"/>
      <c r="WYN90" s="225"/>
      <c r="WYO90" s="220"/>
      <c r="WYP90" s="221"/>
      <c r="WYQ90" s="222"/>
      <c r="WYR90" s="222"/>
      <c r="WYS90" s="223"/>
      <c r="WYT90" s="223"/>
      <c r="WYU90" s="224"/>
      <c r="WYV90" s="223"/>
      <c r="WYW90" s="223"/>
      <c r="WYX90" s="223"/>
      <c r="WYY90" s="223"/>
      <c r="WYZ90" s="225"/>
      <c r="WZA90" s="220"/>
      <c r="WZB90" s="221"/>
      <c r="WZC90" s="222"/>
      <c r="WZD90" s="222"/>
      <c r="WZE90" s="223"/>
      <c r="WZF90" s="223"/>
      <c r="WZG90" s="224"/>
      <c r="WZH90" s="223"/>
      <c r="WZI90" s="223"/>
      <c r="WZJ90" s="223"/>
      <c r="WZK90" s="223"/>
      <c r="WZL90" s="225"/>
      <c r="WZM90" s="220"/>
      <c r="WZN90" s="221"/>
      <c r="WZO90" s="222"/>
      <c r="WZP90" s="222"/>
      <c r="WZQ90" s="223"/>
      <c r="WZR90" s="223"/>
      <c r="WZS90" s="224"/>
      <c r="WZT90" s="223"/>
      <c r="WZU90" s="223"/>
      <c r="WZV90" s="223"/>
      <c r="WZW90" s="223"/>
      <c r="WZX90" s="225"/>
      <c r="WZY90" s="220"/>
      <c r="WZZ90" s="221"/>
      <c r="XAA90" s="222"/>
      <c r="XAB90" s="222"/>
      <c r="XAC90" s="223"/>
      <c r="XAD90" s="223"/>
      <c r="XAE90" s="224"/>
      <c r="XAF90" s="223"/>
      <c r="XAG90" s="223"/>
      <c r="XAH90" s="223"/>
      <c r="XAI90" s="223"/>
      <c r="XAJ90" s="225"/>
      <c r="XAK90" s="220"/>
      <c r="XAL90" s="221"/>
      <c r="XAM90" s="222"/>
      <c r="XAN90" s="222"/>
      <c r="XAO90" s="223"/>
      <c r="XAP90" s="223"/>
      <c r="XAQ90" s="224"/>
      <c r="XAR90" s="223"/>
      <c r="XAS90" s="223"/>
      <c r="XAT90" s="223"/>
      <c r="XAU90" s="223"/>
      <c r="XAV90" s="225"/>
      <c r="XAW90" s="220"/>
      <c r="XAX90" s="221"/>
      <c r="XAY90" s="222"/>
      <c r="XAZ90" s="222"/>
      <c r="XBA90" s="223"/>
      <c r="XBB90" s="223"/>
      <c r="XBC90" s="224"/>
      <c r="XBD90" s="223"/>
      <c r="XBE90" s="223"/>
      <c r="XBF90" s="223"/>
      <c r="XBG90" s="223"/>
      <c r="XBH90" s="225"/>
      <c r="XBI90" s="220"/>
      <c r="XBJ90" s="221"/>
      <c r="XBK90" s="222"/>
      <c r="XBL90" s="222"/>
      <c r="XBM90" s="223"/>
      <c r="XBN90" s="223"/>
      <c r="XBO90" s="224"/>
      <c r="XBP90" s="223"/>
      <c r="XBQ90" s="223"/>
      <c r="XBR90" s="223"/>
      <c r="XBS90" s="223"/>
      <c r="XBT90" s="225"/>
      <c r="XBU90" s="220"/>
      <c r="XBV90" s="221"/>
      <c r="XBW90" s="222"/>
      <c r="XBX90" s="222"/>
      <c r="XBY90" s="223"/>
      <c r="XBZ90" s="223"/>
      <c r="XCA90" s="224"/>
      <c r="XCB90" s="223"/>
      <c r="XCC90" s="223"/>
      <c r="XCD90" s="223"/>
      <c r="XCE90" s="223"/>
      <c r="XCF90" s="225"/>
      <c r="XCG90" s="220"/>
      <c r="XCH90" s="221"/>
      <c r="XCI90" s="222"/>
      <c r="XCJ90" s="222"/>
      <c r="XCK90" s="223"/>
      <c r="XCL90" s="223"/>
      <c r="XCM90" s="224"/>
      <c r="XCN90" s="223"/>
      <c r="XCO90" s="223"/>
      <c r="XCP90" s="223"/>
      <c r="XCQ90" s="223"/>
      <c r="XCR90" s="225"/>
      <c r="XCS90" s="220"/>
      <c r="XCT90" s="221"/>
      <c r="XCU90" s="222"/>
      <c r="XCV90" s="222"/>
      <c r="XCW90" s="223"/>
      <c r="XCX90" s="223"/>
      <c r="XCY90" s="224"/>
      <c r="XCZ90" s="223"/>
      <c r="XDA90" s="223"/>
      <c r="XDB90" s="223"/>
      <c r="XDC90" s="223"/>
      <c r="XDD90" s="225"/>
      <c r="XDE90" s="220"/>
      <c r="XDF90" s="221"/>
      <c r="XDG90" s="222"/>
      <c r="XDH90" s="222"/>
      <c r="XDI90" s="223"/>
      <c r="XDJ90" s="223"/>
      <c r="XDK90" s="224"/>
      <c r="XDL90" s="223"/>
      <c r="XDM90" s="223"/>
      <c r="XDN90" s="223"/>
      <c r="XDO90" s="223"/>
      <c r="XDP90" s="225"/>
      <c r="XDQ90" s="220"/>
      <c r="XDR90" s="221"/>
      <c r="XDS90" s="222"/>
      <c r="XDT90" s="222"/>
      <c r="XDU90" s="223"/>
      <c r="XDV90" s="223"/>
      <c r="XDW90" s="224"/>
      <c r="XDX90" s="223"/>
      <c r="XDY90" s="223"/>
      <c r="XDZ90" s="223"/>
      <c r="XEA90" s="223"/>
      <c r="XEB90" s="225"/>
      <c r="XEC90" s="220"/>
      <c r="XED90" s="221"/>
      <c r="XEE90" s="222"/>
      <c r="XEF90" s="222"/>
      <c r="XEG90" s="223"/>
      <c r="XEH90" s="223"/>
      <c r="XEI90" s="224"/>
      <c r="XEJ90" s="223"/>
      <c r="XEK90" s="223"/>
      <c r="XEL90" s="223"/>
      <c r="XEM90" s="223"/>
      <c r="XEN90" s="225"/>
      <c r="XEO90" s="220"/>
      <c r="XEP90" s="221"/>
      <c r="XEQ90" s="222"/>
      <c r="XER90" s="222"/>
      <c r="XES90" s="223"/>
      <c r="XET90" s="223"/>
      <c r="XEU90" s="224"/>
      <c r="XEV90" s="223"/>
      <c r="XEW90" s="223"/>
      <c r="XEX90" s="223"/>
      <c r="XEY90" s="223"/>
      <c r="XEZ90" s="225"/>
      <c r="XFA90" s="220"/>
      <c r="XFB90" s="221"/>
      <c r="XFC90" s="222"/>
      <c r="XFD90" s="222"/>
    </row>
    <row r="91" spans="1:16384" s="158" customFormat="1" ht="27.75" customHeight="1" x14ac:dyDescent="0.3">
      <c r="A91" s="194">
        <v>1</v>
      </c>
      <c r="B91" s="137" t="s">
        <v>336</v>
      </c>
      <c r="C91" s="134" t="s">
        <v>33</v>
      </c>
      <c r="D91" s="75"/>
      <c r="E91" s="76">
        <v>19.8</v>
      </c>
      <c r="F91" s="435"/>
      <c r="G91" s="76"/>
      <c r="H91" s="76"/>
      <c r="I91" s="76"/>
      <c r="J91" s="76"/>
      <c r="K91" s="76"/>
      <c r="L91" s="77"/>
      <c r="M91" s="606"/>
    </row>
    <row r="92" spans="1:16384" s="158" customFormat="1" ht="13.8" x14ac:dyDescent="0.3">
      <c r="A92" s="78"/>
      <c r="B92" s="24" t="s">
        <v>8</v>
      </c>
      <c r="C92" s="79" t="s">
        <v>33</v>
      </c>
      <c r="D92" s="79">
        <v>1</v>
      </c>
      <c r="E92" s="58"/>
      <c r="F92" s="271"/>
      <c r="G92" s="56"/>
      <c r="H92" s="58"/>
      <c r="I92" s="58"/>
      <c r="J92" s="58"/>
      <c r="K92" s="58"/>
      <c r="L92" s="57"/>
      <c r="M92" s="606"/>
    </row>
    <row r="93" spans="1:16384" s="158" customFormat="1" ht="13.8" x14ac:dyDescent="0.3">
      <c r="A93" s="78"/>
      <c r="B93" s="24" t="s">
        <v>10</v>
      </c>
      <c r="C93" s="79" t="s">
        <v>15</v>
      </c>
      <c r="D93" s="79">
        <v>0.03</v>
      </c>
      <c r="E93" s="58"/>
      <c r="F93" s="271"/>
      <c r="G93" s="56"/>
      <c r="H93" s="58"/>
      <c r="I93" s="58"/>
      <c r="J93" s="58"/>
      <c r="K93" s="58"/>
      <c r="L93" s="57"/>
      <c r="M93" s="606"/>
    </row>
    <row r="94" spans="1:16384" s="158" customFormat="1" ht="13.8" x14ac:dyDescent="0.3">
      <c r="A94" s="78"/>
      <c r="B94" s="24" t="s">
        <v>12</v>
      </c>
      <c r="C94" s="79"/>
      <c r="D94" s="79"/>
      <c r="E94" s="58"/>
      <c r="F94" s="271"/>
      <c r="G94" s="56"/>
      <c r="H94" s="58"/>
      <c r="I94" s="58"/>
      <c r="J94" s="58"/>
      <c r="K94" s="58"/>
      <c r="L94" s="57"/>
      <c r="M94" s="606"/>
    </row>
    <row r="95" spans="1:16384" s="158" customFormat="1" ht="15" x14ac:dyDescent="0.3">
      <c r="A95" s="78"/>
      <c r="B95" s="24" t="s">
        <v>338</v>
      </c>
      <c r="C95" s="79" t="s">
        <v>33</v>
      </c>
      <c r="D95" s="79">
        <v>1.05</v>
      </c>
      <c r="E95" s="58"/>
      <c r="F95" s="271"/>
      <c r="G95" s="56"/>
      <c r="H95" s="58"/>
      <c r="I95" s="58"/>
      <c r="J95" s="58"/>
      <c r="K95" s="58"/>
      <c r="L95" s="57"/>
      <c r="M95" s="606"/>
    </row>
    <row r="96" spans="1:16384" s="158" customFormat="1" thickBot="1" x14ac:dyDescent="0.35">
      <c r="A96" s="198"/>
      <c r="B96" s="98" t="s">
        <v>14</v>
      </c>
      <c r="C96" s="141" t="s">
        <v>15</v>
      </c>
      <c r="D96" s="79">
        <v>3.0000000000000001E-3</v>
      </c>
      <c r="E96" s="56"/>
      <c r="F96" s="297"/>
      <c r="G96" s="56"/>
      <c r="H96" s="56"/>
      <c r="I96" s="56"/>
      <c r="J96" s="56"/>
      <c r="K96" s="56"/>
      <c r="L96" s="57"/>
      <c r="M96" s="606"/>
    </row>
    <row r="97" spans="1:13" s="69" customFormat="1" ht="26.25" customHeight="1" x14ac:dyDescent="0.3">
      <c r="A97" s="194">
        <v>2</v>
      </c>
      <c r="B97" s="137" t="s">
        <v>247</v>
      </c>
      <c r="C97" s="134" t="s">
        <v>33</v>
      </c>
      <c r="D97" s="134"/>
      <c r="E97" s="138">
        <f>E91</f>
        <v>19.8</v>
      </c>
      <c r="F97" s="312"/>
      <c r="G97" s="138"/>
      <c r="H97" s="138"/>
      <c r="I97" s="138"/>
      <c r="J97" s="138"/>
      <c r="K97" s="138"/>
      <c r="L97" s="139"/>
      <c r="M97" s="126"/>
    </row>
    <row r="98" spans="1:13" s="69" customFormat="1" ht="13.95" customHeight="1" x14ac:dyDescent="0.3">
      <c r="A98" s="78"/>
      <c r="B98" s="24" t="s">
        <v>8</v>
      </c>
      <c r="C98" s="79" t="s">
        <v>33</v>
      </c>
      <c r="D98" s="79">
        <v>1</v>
      </c>
      <c r="E98" s="58"/>
      <c r="F98" s="271"/>
      <c r="G98" s="58"/>
      <c r="H98" s="58"/>
      <c r="I98" s="58"/>
      <c r="J98" s="58"/>
      <c r="K98" s="58"/>
      <c r="L98" s="57"/>
      <c r="M98" s="126"/>
    </row>
    <row r="99" spans="1:13" s="69" customFormat="1" ht="13.95" customHeight="1" x14ac:dyDescent="0.3">
      <c r="A99" s="78"/>
      <c r="B99" s="24" t="s">
        <v>10</v>
      </c>
      <c r="C99" s="79" t="s">
        <v>15</v>
      </c>
      <c r="D99" s="79">
        <v>0.2</v>
      </c>
      <c r="E99" s="58"/>
      <c r="F99" s="271"/>
      <c r="G99" s="58"/>
      <c r="H99" s="58"/>
      <c r="I99" s="58"/>
      <c r="J99" s="58"/>
      <c r="K99" s="58"/>
      <c r="L99" s="57"/>
      <c r="M99" s="126"/>
    </row>
    <row r="100" spans="1:13" s="69" customFormat="1" ht="13.95" customHeight="1" x14ac:dyDescent="0.3">
      <c r="A100" s="78"/>
      <c r="B100" s="24" t="s">
        <v>12</v>
      </c>
      <c r="C100" s="79"/>
      <c r="D100" s="79"/>
      <c r="E100" s="58"/>
      <c r="F100" s="271"/>
      <c r="G100" s="58"/>
      <c r="H100" s="58"/>
      <c r="I100" s="58"/>
      <c r="J100" s="58"/>
      <c r="K100" s="58"/>
      <c r="L100" s="57"/>
      <c r="M100" s="126"/>
    </row>
    <row r="101" spans="1:13" s="69" customFormat="1" ht="21.6" x14ac:dyDescent="0.45">
      <c r="A101" s="78"/>
      <c r="B101" s="24" t="s">
        <v>248</v>
      </c>
      <c r="C101" s="79" t="s">
        <v>33</v>
      </c>
      <c r="D101" s="79">
        <v>1.05</v>
      </c>
      <c r="E101" s="58"/>
      <c r="F101" s="437"/>
      <c r="G101" s="56"/>
      <c r="H101" s="58"/>
      <c r="I101" s="58"/>
      <c r="J101" s="58"/>
      <c r="K101" s="58"/>
      <c r="L101" s="57"/>
      <c r="M101" s="607"/>
    </row>
    <row r="102" spans="1:13" s="69" customFormat="1" ht="20.399999999999999" customHeight="1" thickBot="1" x14ac:dyDescent="0.5">
      <c r="A102" s="140"/>
      <c r="B102" s="98" t="s">
        <v>14</v>
      </c>
      <c r="C102" s="141" t="s">
        <v>15</v>
      </c>
      <c r="D102" s="141">
        <v>1</v>
      </c>
      <c r="E102" s="142"/>
      <c r="F102" s="311"/>
      <c r="G102" s="143"/>
      <c r="H102" s="142"/>
      <c r="I102" s="142"/>
      <c r="J102" s="142"/>
      <c r="K102" s="142"/>
      <c r="L102" s="144"/>
      <c r="M102" s="607"/>
    </row>
    <row r="103" spans="1:13" s="69" customFormat="1" ht="45" customHeight="1" x14ac:dyDescent="0.45">
      <c r="A103" s="136">
        <v>3</v>
      </c>
      <c r="B103" s="137" t="s">
        <v>246</v>
      </c>
      <c r="C103" s="134" t="s">
        <v>33</v>
      </c>
      <c r="D103" s="134"/>
      <c r="E103" s="138">
        <v>19.8</v>
      </c>
      <c r="F103" s="312"/>
      <c r="G103" s="138"/>
      <c r="H103" s="138"/>
      <c r="I103" s="138"/>
      <c r="J103" s="138"/>
      <c r="K103" s="138"/>
      <c r="L103" s="139"/>
      <c r="M103" s="607"/>
    </row>
    <row r="104" spans="1:13" s="69" customFormat="1" ht="12.75" customHeight="1" x14ac:dyDescent="0.3">
      <c r="A104" s="78"/>
      <c r="B104" s="24" t="s">
        <v>8</v>
      </c>
      <c r="C104" s="79" t="s">
        <v>33</v>
      </c>
      <c r="D104" s="79">
        <v>1</v>
      </c>
      <c r="E104" s="58"/>
      <c r="F104" s="271"/>
      <c r="G104" s="56"/>
      <c r="H104" s="56"/>
      <c r="I104" s="58"/>
      <c r="J104" s="58"/>
      <c r="K104" s="58"/>
      <c r="L104" s="57"/>
      <c r="M104" s="126"/>
    </row>
    <row r="105" spans="1:13" s="69" customFormat="1" ht="12.75" customHeight="1" x14ac:dyDescent="0.3">
      <c r="A105" s="78"/>
      <c r="B105" s="24" t="s">
        <v>12</v>
      </c>
      <c r="C105" s="79"/>
      <c r="D105" s="79"/>
      <c r="E105" s="58"/>
      <c r="F105" s="271"/>
      <c r="G105" s="56"/>
      <c r="H105" s="135"/>
      <c r="I105" s="58"/>
      <c r="J105" s="58"/>
      <c r="K105" s="58"/>
      <c r="L105" s="57"/>
      <c r="M105" s="126"/>
    </row>
    <row r="106" spans="1:13" s="69" customFormat="1" ht="29.1" customHeight="1" x14ac:dyDescent="0.3">
      <c r="A106" s="78"/>
      <c r="B106" s="24" t="s">
        <v>308</v>
      </c>
      <c r="C106" s="79" t="s">
        <v>33</v>
      </c>
      <c r="D106" s="79">
        <v>1.1000000000000001</v>
      </c>
      <c r="E106" s="58"/>
      <c r="F106" s="297"/>
      <c r="G106" s="56"/>
      <c r="H106" s="58"/>
      <c r="I106" s="58"/>
      <c r="J106" s="58"/>
      <c r="K106" s="58"/>
      <c r="L106" s="57"/>
      <c r="M106" s="126"/>
    </row>
    <row r="107" spans="1:13" s="69" customFormat="1" ht="41.4" x14ac:dyDescent="0.3">
      <c r="A107" s="78"/>
      <c r="B107" s="24" t="s">
        <v>262</v>
      </c>
      <c r="C107" s="79" t="s">
        <v>268</v>
      </c>
      <c r="D107" s="79"/>
      <c r="E107" s="58"/>
      <c r="F107" s="297"/>
      <c r="G107" s="56"/>
      <c r="H107" s="58"/>
      <c r="I107" s="58"/>
      <c r="J107" s="58"/>
      <c r="K107" s="58"/>
      <c r="L107" s="57"/>
      <c r="M107" s="126"/>
    </row>
    <row r="108" spans="1:13" s="158" customFormat="1" thickBot="1" x14ac:dyDescent="0.35">
      <c r="A108" s="198"/>
      <c r="B108" s="98" t="s">
        <v>14</v>
      </c>
      <c r="C108" s="141" t="s">
        <v>15</v>
      </c>
      <c r="D108" s="168">
        <v>0.06</v>
      </c>
      <c r="E108" s="168"/>
      <c r="F108" s="169"/>
      <c r="G108" s="169"/>
      <c r="H108" s="170"/>
      <c r="I108" s="170"/>
      <c r="J108" s="170"/>
      <c r="K108" s="170"/>
      <c r="L108" s="171"/>
      <c r="M108" s="606"/>
    </row>
    <row r="109" spans="1:13" ht="15.6" thickBot="1" x14ac:dyDescent="0.35">
      <c r="A109" s="220"/>
      <c r="B109" s="227" t="s">
        <v>343</v>
      </c>
      <c r="C109" s="222"/>
      <c r="D109" s="222"/>
      <c r="E109" s="223"/>
      <c r="F109" s="223"/>
      <c r="G109" s="224"/>
      <c r="H109" s="223"/>
      <c r="I109" s="223"/>
      <c r="J109" s="223"/>
      <c r="K109" s="223"/>
      <c r="L109" s="225"/>
    </row>
    <row r="110" spans="1:13" s="158" customFormat="1" ht="27.75" customHeight="1" x14ac:dyDescent="0.3">
      <c r="A110" s="194">
        <v>1</v>
      </c>
      <c r="B110" s="137" t="s">
        <v>336</v>
      </c>
      <c r="C110" s="134" t="s">
        <v>33</v>
      </c>
      <c r="D110" s="75"/>
      <c r="E110" s="76">
        <v>115.5</v>
      </c>
      <c r="F110" s="435"/>
      <c r="G110" s="76"/>
      <c r="H110" s="76"/>
      <c r="I110" s="76"/>
      <c r="J110" s="76"/>
      <c r="K110" s="76"/>
      <c r="L110" s="77"/>
    </row>
    <row r="111" spans="1:13" s="158" customFormat="1" ht="13.8" x14ac:dyDescent="0.3">
      <c r="A111" s="78"/>
      <c r="B111" s="24" t="s">
        <v>8</v>
      </c>
      <c r="C111" s="79" t="s">
        <v>33</v>
      </c>
      <c r="D111" s="79">
        <v>1</v>
      </c>
      <c r="E111" s="58"/>
      <c r="F111" s="271"/>
      <c r="G111" s="56"/>
      <c r="H111" s="58"/>
      <c r="I111" s="58"/>
      <c r="J111" s="58"/>
      <c r="K111" s="58"/>
      <c r="L111" s="57"/>
    </row>
    <row r="112" spans="1:13" s="158" customFormat="1" ht="13.8" x14ac:dyDescent="0.3">
      <c r="A112" s="78"/>
      <c r="B112" s="24" t="s">
        <v>10</v>
      </c>
      <c r="C112" s="79" t="s">
        <v>15</v>
      </c>
      <c r="D112" s="79">
        <v>0.03</v>
      </c>
      <c r="E112" s="58"/>
      <c r="F112" s="271"/>
      <c r="G112" s="56"/>
      <c r="H112" s="58"/>
      <c r="I112" s="58"/>
      <c r="J112" s="58"/>
      <c r="K112" s="58"/>
      <c r="L112" s="57"/>
    </row>
    <row r="113" spans="1:16384" s="158" customFormat="1" ht="13.8" x14ac:dyDescent="0.3">
      <c r="A113" s="78"/>
      <c r="B113" s="24" t="s">
        <v>12</v>
      </c>
      <c r="C113" s="79"/>
      <c r="D113" s="79"/>
      <c r="E113" s="58"/>
      <c r="F113" s="271"/>
      <c r="G113" s="56"/>
      <c r="H113" s="58"/>
      <c r="I113" s="58"/>
      <c r="J113" s="58"/>
      <c r="K113" s="58"/>
      <c r="L113" s="57"/>
    </row>
    <row r="114" spans="1:16384" s="158" customFormat="1" ht="15" x14ac:dyDescent="0.3">
      <c r="A114" s="78"/>
      <c r="B114" s="24" t="s">
        <v>337</v>
      </c>
      <c r="C114" s="79" t="s">
        <v>33</v>
      </c>
      <c r="D114" s="79">
        <v>1.05</v>
      </c>
      <c r="E114" s="58"/>
      <c r="F114" s="271"/>
      <c r="G114" s="56"/>
      <c r="H114" s="58"/>
      <c r="I114" s="58"/>
      <c r="J114" s="58"/>
      <c r="K114" s="58"/>
      <c r="L114" s="57"/>
    </row>
    <row r="115" spans="1:16384" s="158" customFormat="1" thickBot="1" x14ac:dyDescent="0.35">
      <c r="A115" s="198"/>
      <c r="B115" s="98" t="s">
        <v>14</v>
      </c>
      <c r="C115" s="141" t="s">
        <v>15</v>
      </c>
      <c r="D115" s="79">
        <v>3.0000000000000001E-3</v>
      </c>
      <c r="E115" s="56"/>
      <c r="F115" s="297"/>
      <c r="G115" s="56"/>
      <c r="H115" s="56"/>
      <c r="I115" s="56"/>
      <c r="J115" s="56"/>
      <c r="K115" s="56"/>
      <c r="L115" s="57"/>
    </row>
    <row r="116" spans="1:16384" s="69" customFormat="1" ht="20.25" customHeight="1" x14ac:dyDescent="0.3">
      <c r="A116" s="194">
        <v>2</v>
      </c>
      <c r="B116" s="137" t="s">
        <v>247</v>
      </c>
      <c r="C116" s="134" t="s">
        <v>33</v>
      </c>
      <c r="D116" s="134"/>
      <c r="E116" s="138">
        <f>E110</f>
        <v>115.5</v>
      </c>
      <c r="F116" s="312"/>
      <c r="G116" s="138"/>
      <c r="H116" s="138"/>
      <c r="I116" s="138"/>
      <c r="J116" s="138"/>
      <c r="K116" s="138"/>
      <c r="L116" s="139"/>
    </row>
    <row r="117" spans="1:16384" s="69" customFormat="1" ht="13.95" customHeight="1" x14ac:dyDescent="0.3">
      <c r="A117" s="78"/>
      <c r="B117" s="24" t="s">
        <v>8</v>
      </c>
      <c r="C117" s="79" t="s">
        <v>33</v>
      </c>
      <c r="D117" s="79">
        <v>1</v>
      </c>
      <c r="E117" s="58"/>
      <c r="F117" s="271"/>
      <c r="G117" s="58"/>
      <c r="H117" s="58"/>
      <c r="I117" s="58"/>
      <c r="J117" s="58"/>
      <c r="K117" s="58"/>
      <c r="L117" s="57"/>
    </row>
    <row r="118" spans="1:16384" s="69" customFormat="1" ht="13.95" customHeight="1" x14ac:dyDescent="0.3">
      <c r="A118" s="78"/>
      <c r="B118" s="24" t="s">
        <v>10</v>
      </c>
      <c r="C118" s="79" t="s">
        <v>15</v>
      </c>
      <c r="D118" s="79">
        <v>0.2</v>
      </c>
      <c r="E118" s="58"/>
      <c r="F118" s="271"/>
      <c r="G118" s="58"/>
      <c r="H118" s="58"/>
      <c r="I118" s="58"/>
      <c r="J118" s="58"/>
      <c r="K118" s="58"/>
      <c r="L118" s="57"/>
    </row>
    <row r="119" spans="1:16384" s="69" customFormat="1" ht="13.95" customHeight="1" x14ac:dyDescent="0.3">
      <c r="A119" s="78"/>
      <c r="B119" s="24" t="s">
        <v>12</v>
      </c>
      <c r="C119" s="79"/>
      <c r="D119" s="79"/>
      <c r="E119" s="58"/>
      <c r="F119" s="271"/>
      <c r="G119" s="58"/>
      <c r="H119" s="58"/>
      <c r="I119" s="58"/>
      <c r="J119" s="58"/>
      <c r="K119" s="58"/>
      <c r="L119" s="57"/>
    </row>
    <row r="120" spans="1:16384" s="69" customFormat="1" ht="13.8" x14ac:dyDescent="0.3">
      <c r="A120" s="78"/>
      <c r="B120" s="24" t="s">
        <v>248</v>
      </c>
      <c r="C120" s="79" t="s">
        <v>33</v>
      </c>
      <c r="D120" s="79">
        <v>1.05</v>
      </c>
      <c r="E120" s="58"/>
      <c r="F120" s="297"/>
      <c r="G120" s="56"/>
      <c r="H120" s="58"/>
      <c r="I120" s="58"/>
      <c r="J120" s="58"/>
      <c r="K120" s="58"/>
      <c r="L120" s="57"/>
    </row>
    <row r="121" spans="1:16384" s="69" customFormat="1" ht="13.95" customHeight="1" thickBot="1" x14ac:dyDescent="0.35">
      <c r="A121" s="140"/>
      <c r="B121" s="98" t="s">
        <v>14</v>
      </c>
      <c r="C121" s="141" t="s">
        <v>15</v>
      </c>
      <c r="D121" s="141">
        <v>1</v>
      </c>
      <c r="E121" s="142"/>
      <c r="F121" s="311"/>
      <c r="G121" s="143"/>
      <c r="H121" s="142"/>
      <c r="I121" s="142"/>
      <c r="J121" s="142"/>
      <c r="K121" s="142"/>
      <c r="L121" s="144"/>
    </row>
    <row r="122" spans="1:16384" s="69" customFormat="1" ht="29.25" customHeight="1" x14ac:dyDescent="0.3">
      <c r="A122" s="136">
        <v>3</v>
      </c>
      <c r="B122" s="137" t="s">
        <v>246</v>
      </c>
      <c r="C122" s="134" t="s">
        <v>33</v>
      </c>
      <c r="D122" s="134"/>
      <c r="E122" s="138">
        <f>E116</f>
        <v>115.5</v>
      </c>
      <c r="F122" s="312"/>
      <c r="G122" s="138"/>
      <c r="H122" s="138"/>
      <c r="I122" s="138"/>
      <c r="J122" s="138"/>
      <c r="K122" s="138"/>
      <c r="L122" s="139"/>
    </row>
    <row r="123" spans="1:16384" s="69" customFormat="1" ht="18" customHeight="1" x14ac:dyDescent="0.3">
      <c r="A123" s="78"/>
      <c r="B123" s="24" t="s">
        <v>8</v>
      </c>
      <c r="C123" s="79" t="s">
        <v>33</v>
      </c>
      <c r="D123" s="79">
        <v>1</v>
      </c>
      <c r="E123" s="58"/>
      <c r="F123" s="271"/>
      <c r="G123" s="56"/>
      <c r="H123" s="56"/>
      <c r="I123" s="58"/>
      <c r="J123" s="58"/>
      <c r="K123" s="58"/>
      <c r="L123" s="57"/>
    </row>
    <row r="124" spans="1:16384" s="69" customFormat="1" ht="18" customHeight="1" x14ac:dyDescent="0.3">
      <c r="A124" s="78"/>
      <c r="B124" s="24" t="s">
        <v>12</v>
      </c>
      <c r="C124" s="79"/>
      <c r="D124" s="79"/>
      <c r="E124" s="58"/>
      <c r="F124" s="271"/>
      <c r="G124" s="56"/>
      <c r="H124" s="135"/>
      <c r="I124" s="58"/>
      <c r="J124" s="58"/>
      <c r="K124" s="58"/>
      <c r="L124" s="57"/>
    </row>
    <row r="125" spans="1:16384" s="69" customFormat="1" thickBot="1" x14ac:dyDescent="0.35">
      <c r="A125" s="140"/>
      <c r="B125" s="98" t="s">
        <v>245</v>
      </c>
      <c r="C125" s="141" t="s">
        <v>33</v>
      </c>
      <c r="D125" s="141">
        <v>1.1000000000000001</v>
      </c>
      <c r="E125" s="142"/>
      <c r="F125" s="313"/>
      <c r="G125" s="143"/>
      <c r="H125" s="142"/>
      <c r="I125" s="142"/>
      <c r="J125" s="142"/>
      <c r="K125" s="142"/>
      <c r="L125" s="144"/>
    </row>
    <row r="126" spans="1:16384" s="226" customFormat="1" ht="15" thickBot="1" x14ac:dyDescent="0.35">
      <c r="A126" s="220"/>
      <c r="B126" s="227" t="s">
        <v>400</v>
      </c>
      <c r="C126" s="222"/>
      <c r="D126" s="222"/>
      <c r="E126" s="223"/>
      <c r="F126" s="223"/>
      <c r="G126" s="224"/>
      <c r="H126" s="223"/>
      <c r="I126" s="223"/>
      <c r="J126" s="223"/>
      <c r="K126" s="223"/>
      <c r="L126" s="225"/>
      <c r="M126" s="605"/>
      <c r="N126" s="308"/>
      <c r="O126" s="307"/>
      <c r="P126" s="307"/>
      <c r="Q126" s="309"/>
      <c r="R126" s="320"/>
      <c r="S126" s="321"/>
      <c r="T126" s="320"/>
      <c r="U126" s="320"/>
      <c r="V126" s="320"/>
      <c r="W126" s="320"/>
      <c r="X126" s="321"/>
      <c r="Y126" s="319"/>
      <c r="Z126" s="620"/>
      <c r="AA126" s="319"/>
      <c r="AB126" s="319"/>
      <c r="AC126" s="320"/>
      <c r="AD126" s="320"/>
      <c r="AE126" s="321"/>
      <c r="AF126" s="320"/>
      <c r="AG126" s="320"/>
      <c r="AH126" s="320"/>
      <c r="AI126" s="320"/>
      <c r="AJ126" s="321"/>
      <c r="AK126" s="319"/>
      <c r="AL126" s="620"/>
      <c r="AM126" s="319"/>
      <c r="AN126" s="319"/>
      <c r="AO126" s="320"/>
      <c r="AP126" s="320"/>
      <c r="AQ126" s="621"/>
      <c r="AR126" s="434"/>
      <c r="AS126" s="434"/>
      <c r="AT126" s="434"/>
      <c r="AU126" s="434"/>
      <c r="AV126" s="622"/>
      <c r="AW126" s="623"/>
      <c r="AX126" s="624"/>
      <c r="AY126" s="625"/>
      <c r="AZ126" s="625"/>
      <c r="BA126" s="434"/>
      <c r="BB126" s="434"/>
      <c r="BC126" s="626"/>
      <c r="BD126" s="434"/>
      <c r="BE126" s="434"/>
      <c r="BF126" s="434"/>
      <c r="BG126" s="434"/>
      <c r="BH126" s="622"/>
      <c r="BI126" s="623"/>
      <c r="BJ126" s="624"/>
      <c r="BK126" s="625"/>
      <c r="BL126" s="625"/>
      <c r="BM126" s="434"/>
      <c r="BN126" s="434"/>
      <c r="BO126" s="626"/>
      <c r="BP126" s="434"/>
      <c r="BQ126" s="434"/>
      <c r="BR126" s="434"/>
      <c r="BS126" s="434"/>
      <c r="BT126" s="622"/>
      <c r="BU126" s="623"/>
      <c r="BV126" s="624"/>
      <c r="BW126" s="222"/>
      <c r="BX126" s="222"/>
      <c r="BY126" s="223"/>
      <c r="BZ126" s="223"/>
      <c r="CA126" s="224"/>
      <c r="CB126" s="223"/>
      <c r="CC126" s="223"/>
      <c r="CD126" s="223"/>
      <c r="CE126" s="223"/>
      <c r="CF126" s="225"/>
      <c r="CG126" s="220"/>
      <c r="CH126" s="221"/>
      <c r="CI126" s="222"/>
      <c r="CJ126" s="222"/>
      <c r="CK126" s="223"/>
      <c r="CL126" s="223"/>
      <c r="CM126" s="224"/>
      <c r="CN126" s="223"/>
      <c r="CO126" s="223"/>
      <c r="CP126" s="223"/>
      <c r="CQ126" s="223"/>
      <c r="CR126" s="225"/>
      <c r="CS126" s="220"/>
      <c r="CT126" s="221"/>
      <c r="CU126" s="222"/>
      <c r="CV126" s="222"/>
      <c r="CW126" s="223"/>
      <c r="CX126" s="223"/>
      <c r="CY126" s="224"/>
      <c r="CZ126" s="223"/>
      <c r="DA126" s="223"/>
      <c r="DB126" s="223"/>
      <c r="DC126" s="223"/>
      <c r="DD126" s="225"/>
      <c r="DE126" s="220"/>
      <c r="DF126" s="221"/>
      <c r="DG126" s="222"/>
      <c r="DH126" s="222"/>
      <c r="DI126" s="223"/>
      <c r="DJ126" s="223"/>
      <c r="DK126" s="224"/>
      <c r="DL126" s="223"/>
      <c r="DM126" s="223"/>
      <c r="DN126" s="223"/>
      <c r="DO126" s="223"/>
      <c r="DP126" s="225"/>
      <c r="DQ126" s="220"/>
      <c r="DR126" s="221"/>
      <c r="DS126" s="222"/>
      <c r="DT126" s="222"/>
      <c r="DU126" s="223"/>
      <c r="DV126" s="223"/>
      <c r="DW126" s="224"/>
      <c r="DX126" s="223"/>
      <c r="DY126" s="223"/>
      <c r="DZ126" s="223"/>
      <c r="EA126" s="223"/>
      <c r="EB126" s="225"/>
      <c r="EC126" s="220"/>
      <c r="ED126" s="221"/>
      <c r="EE126" s="222"/>
      <c r="EF126" s="222"/>
      <c r="EG126" s="223"/>
      <c r="EH126" s="223"/>
      <c r="EI126" s="224"/>
      <c r="EJ126" s="223"/>
      <c r="EK126" s="223"/>
      <c r="EL126" s="223"/>
      <c r="EM126" s="223"/>
      <c r="EN126" s="225"/>
      <c r="EO126" s="220"/>
      <c r="EP126" s="221"/>
      <c r="EQ126" s="222"/>
      <c r="ER126" s="222"/>
      <c r="ES126" s="223"/>
      <c r="ET126" s="223"/>
      <c r="EU126" s="224"/>
      <c r="EV126" s="223"/>
      <c r="EW126" s="223"/>
      <c r="EX126" s="223"/>
      <c r="EY126" s="223"/>
      <c r="EZ126" s="225"/>
      <c r="FA126" s="220"/>
      <c r="FB126" s="221"/>
      <c r="FC126" s="222"/>
      <c r="FD126" s="222"/>
      <c r="FE126" s="223"/>
      <c r="FF126" s="223"/>
      <c r="FG126" s="224"/>
      <c r="FH126" s="223"/>
      <c r="FI126" s="223"/>
      <c r="FJ126" s="223"/>
      <c r="FK126" s="223"/>
      <c r="FL126" s="225"/>
      <c r="FM126" s="220"/>
      <c r="FN126" s="221"/>
      <c r="FO126" s="222"/>
      <c r="FP126" s="222"/>
      <c r="FQ126" s="223"/>
      <c r="FR126" s="223"/>
      <c r="FS126" s="224"/>
      <c r="FT126" s="223"/>
      <c r="FU126" s="223"/>
      <c r="FV126" s="223"/>
      <c r="FW126" s="223"/>
      <c r="FX126" s="225"/>
      <c r="FY126" s="220"/>
      <c r="FZ126" s="221"/>
      <c r="GA126" s="222"/>
      <c r="GB126" s="222"/>
      <c r="GC126" s="223"/>
      <c r="GD126" s="223"/>
      <c r="GE126" s="224"/>
      <c r="GF126" s="223"/>
      <c r="GG126" s="223"/>
      <c r="GH126" s="223"/>
      <c r="GI126" s="223"/>
      <c r="GJ126" s="225"/>
      <c r="GK126" s="220"/>
      <c r="GL126" s="221"/>
      <c r="GM126" s="222"/>
      <c r="GN126" s="222"/>
      <c r="GO126" s="223"/>
      <c r="GP126" s="223"/>
      <c r="GQ126" s="224"/>
      <c r="GR126" s="223"/>
      <c r="GS126" s="223"/>
      <c r="GT126" s="223"/>
      <c r="GU126" s="223"/>
      <c r="GV126" s="225"/>
      <c r="GW126" s="220"/>
      <c r="GX126" s="221"/>
      <c r="GY126" s="222"/>
      <c r="GZ126" s="222"/>
      <c r="HA126" s="223"/>
      <c r="HB126" s="223"/>
      <c r="HC126" s="224"/>
      <c r="HD126" s="223"/>
      <c r="HE126" s="223"/>
      <c r="HF126" s="223"/>
      <c r="HG126" s="223"/>
      <c r="HH126" s="225"/>
      <c r="HI126" s="220"/>
      <c r="HJ126" s="221"/>
      <c r="HK126" s="222"/>
      <c r="HL126" s="222"/>
      <c r="HM126" s="223"/>
      <c r="HN126" s="223"/>
      <c r="HO126" s="224"/>
      <c r="HP126" s="223"/>
      <c r="HQ126" s="223"/>
      <c r="HR126" s="223"/>
      <c r="HS126" s="223"/>
      <c r="HT126" s="225"/>
      <c r="HU126" s="220"/>
      <c r="HV126" s="221"/>
      <c r="HW126" s="222"/>
      <c r="HX126" s="222"/>
      <c r="HY126" s="223"/>
      <c r="HZ126" s="223"/>
      <c r="IA126" s="224"/>
      <c r="IB126" s="223"/>
      <c r="IC126" s="223"/>
      <c r="ID126" s="223"/>
      <c r="IE126" s="223"/>
      <c r="IF126" s="225"/>
      <c r="IG126" s="220"/>
      <c r="IH126" s="221"/>
      <c r="II126" s="222"/>
      <c r="IJ126" s="222"/>
      <c r="IK126" s="223"/>
      <c r="IL126" s="223"/>
      <c r="IM126" s="224"/>
      <c r="IN126" s="223"/>
      <c r="IO126" s="223"/>
      <c r="IP126" s="223"/>
      <c r="IQ126" s="223"/>
      <c r="IR126" s="225"/>
      <c r="IS126" s="220"/>
      <c r="IT126" s="221"/>
      <c r="IU126" s="222"/>
      <c r="IV126" s="222"/>
      <c r="IW126" s="223"/>
      <c r="IX126" s="223"/>
      <c r="IY126" s="224"/>
      <c r="IZ126" s="223"/>
      <c r="JA126" s="223"/>
      <c r="JB126" s="223"/>
      <c r="JC126" s="223"/>
      <c r="JD126" s="225"/>
      <c r="JE126" s="220"/>
      <c r="JF126" s="221"/>
      <c r="JG126" s="222"/>
      <c r="JH126" s="222"/>
      <c r="JI126" s="223"/>
      <c r="JJ126" s="223"/>
      <c r="JK126" s="224"/>
      <c r="JL126" s="223"/>
      <c r="JM126" s="223"/>
      <c r="JN126" s="223"/>
      <c r="JO126" s="223"/>
      <c r="JP126" s="225"/>
      <c r="JQ126" s="220"/>
      <c r="JR126" s="221"/>
      <c r="JS126" s="222"/>
      <c r="JT126" s="222"/>
      <c r="JU126" s="223"/>
      <c r="JV126" s="223"/>
      <c r="JW126" s="224"/>
      <c r="JX126" s="223"/>
      <c r="JY126" s="223"/>
      <c r="JZ126" s="223"/>
      <c r="KA126" s="223"/>
      <c r="KB126" s="225"/>
      <c r="KC126" s="220"/>
      <c r="KD126" s="221"/>
      <c r="KE126" s="222"/>
      <c r="KF126" s="222"/>
      <c r="KG126" s="223"/>
      <c r="KH126" s="223"/>
      <c r="KI126" s="224"/>
      <c r="KJ126" s="223"/>
      <c r="KK126" s="223"/>
      <c r="KL126" s="223"/>
      <c r="KM126" s="223"/>
      <c r="KN126" s="225"/>
      <c r="KO126" s="220"/>
      <c r="KP126" s="221"/>
      <c r="KQ126" s="222"/>
      <c r="KR126" s="222"/>
      <c r="KS126" s="223"/>
      <c r="KT126" s="223"/>
      <c r="KU126" s="224"/>
      <c r="KV126" s="223"/>
      <c r="KW126" s="223"/>
      <c r="KX126" s="223"/>
      <c r="KY126" s="223"/>
      <c r="KZ126" s="225"/>
      <c r="LA126" s="220"/>
      <c r="LB126" s="221"/>
      <c r="LC126" s="222"/>
      <c r="LD126" s="222"/>
      <c r="LE126" s="223"/>
      <c r="LF126" s="223"/>
      <c r="LG126" s="224"/>
      <c r="LH126" s="223"/>
      <c r="LI126" s="223"/>
      <c r="LJ126" s="223"/>
      <c r="LK126" s="223"/>
      <c r="LL126" s="225"/>
      <c r="LM126" s="220"/>
      <c r="LN126" s="221"/>
      <c r="LO126" s="222"/>
      <c r="LP126" s="222"/>
      <c r="LQ126" s="223"/>
      <c r="LR126" s="223"/>
      <c r="LS126" s="224"/>
      <c r="LT126" s="223"/>
      <c r="LU126" s="223"/>
      <c r="LV126" s="223"/>
      <c r="LW126" s="223"/>
      <c r="LX126" s="225"/>
      <c r="LY126" s="220"/>
      <c r="LZ126" s="221"/>
      <c r="MA126" s="222"/>
      <c r="MB126" s="222"/>
      <c r="MC126" s="223"/>
      <c r="MD126" s="223"/>
      <c r="ME126" s="224"/>
      <c r="MF126" s="223"/>
      <c r="MG126" s="223"/>
      <c r="MH126" s="223"/>
      <c r="MI126" s="223"/>
      <c r="MJ126" s="225"/>
      <c r="MK126" s="220"/>
      <c r="ML126" s="221"/>
      <c r="MM126" s="222"/>
      <c r="MN126" s="222"/>
      <c r="MO126" s="223"/>
      <c r="MP126" s="223"/>
      <c r="MQ126" s="224"/>
      <c r="MR126" s="223"/>
      <c r="MS126" s="223"/>
      <c r="MT126" s="223"/>
      <c r="MU126" s="223"/>
      <c r="MV126" s="225"/>
      <c r="MW126" s="220"/>
      <c r="MX126" s="221"/>
      <c r="MY126" s="222"/>
      <c r="MZ126" s="222"/>
      <c r="NA126" s="223"/>
      <c r="NB126" s="223"/>
      <c r="NC126" s="224"/>
      <c r="ND126" s="223"/>
      <c r="NE126" s="223"/>
      <c r="NF126" s="223"/>
      <c r="NG126" s="223"/>
      <c r="NH126" s="225"/>
      <c r="NI126" s="220"/>
      <c r="NJ126" s="221"/>
      <c r="NK126" s="222"/>
      <c r="NL126" s="222"/>
      <c r="NM126" s="223"/>
      <c r="NN126" s="223"/>
      <c r="NO126" s="224"/>
      <c r="NP126" s="223"/>
      <c r="NQ126" s="223"/>
      <c r="NR126" s="223"/>
      <c r="NS126" s="223"/>
      <c r="NT126" s="225"/>
      <c r="NU126" s="220"/>
      <c r="NV126" s="221"/>
      <c r="NW126" s="222"/>
      <c r="NX126" s="222"/>
      <c r="NY126" s="223"/>
      <c r="NZ126" s="223"/>
      <c r="OA126" s="224"/>
      <c r="OB126" s="223"/>
      <c r="OC126" s="223"/>
      <c r="OD126" s="223"/>
      <c r="OE126" s="223"/>
      <c r="OF126" s="225"/>
      <c r="OG126" s="220"/>
      <c r="OH126" s="221"/>
      <c r="OI126" s="222"/>
      <c r="OJ126" s="222"/>
      <c r="OK126" s="223"/>
      <c r="OL126" s="223"/>
      <c r="OM126" s="224"/>
      <c r="ON126" s="223"/>
      <c r="OO126" s="223"/>
      <c r="OP126" s="223"/>
      <c r="OQ126" s="223"/>
      <c r="OR126" s="225"/>
      <c r="OS126" s="220"/>
      <c r="OT126" s="221"/>
      <c r="OU126" s="222"/>
      <c r="OV126" s="222"/>
      <c r="OW126" s="223"/>
      <c r="OX126" s="223"/>
      <c r="OY126" s="224"/>
      <c r="OZ126" s="223"/>
      <c r="PA126" s="223"/>
      <c r="PB126" s="223"/>
      <c r="PC126" s="223"/>
      <c r="PD126" s="225"/>
      <c r="PE126" s="220"/>
      <c r="PF126" s="221"/>
      <c r="PG126" s="222"/>
      <c r="PH126" s="222"/>
      <c r="PI126" s="223"/>
      <c r="PJ126" s="223"/>
      <c r="PK126" s="224"/>
      <c r="PL126" s="223"/>
      <c r="PM126" s="223"/>
      <c r="PN126" s="223"/>
      <c r="PO126" s="223"/>
      <c r="PP126" s="225"/>
      <c r="PQ126" s="220"/>
      <c r="PR126" s="221"/>
      <c r="PS126" s="222"/>
      <c r="PT126" s="222"/>
      <c r="PU126" s="223"/>
      <c r="PV126" s="223"/>
      <c r="PW126" s="224"/>
      <c r="PX126" s="223"/>
      <c r="PY126" s="223"/>
      <c r="PZ126" s="223"/>
      <c r="QA126" s="223"/>
      <c r="QB126" s="225"/>
      <c r="QC126" s="220"/>
      <c r="QD126" s="221"/>
      <c r="QE126" s="222"/>
      <c r="QF126" s="222"/>
      <c r="QG126" s="223"/>
      <c r="QH126" s="223"/>
      <c r="QI126" s="224"/>
      <c r="QJ126" s="223"/>
      <c r="QK126" s="223"/>
      <c r="QL126" s="223"/>
      <c r="QM126" s="223"/>
      <c r="QN126" s="225"/>
      <c r="QO126" s="220"/>
      <c r="QP126" s="221"/>
      <c r="QQ126" s="222"/>
      <c r="QR126" s="222"/>
      <c r="QS126" s="223"/>
      <c r="QT126" s="223"/>
      <c r="QU126" s="224"/>
      <c r="QV126" s="223"/>
      <c r="QW126" s="223"/>
      <c r="QX126" s="223"/>
      <c r="QY126" s="223"/>
      <c r="QZ126" s="225"/>
      <c r="RA126" s="220"/>
      <c r="RB126" s="221"/>
      <c r="RC126" s="222"/>
      <c r="RD126" s="222"/>
      <c r="RE126" s="223"/>
      <c r="RF126" s="223"/>
      <c r="RG126" s="224"/>
      <c r="RH126" s="223"/>
      <c r="RI126" s="223"/>
      <c r="RJ126" s="223"/>
      <c r="RK126" s="223"/>
      <c r="RL126" s="225"/>
      <c r="RM126" s="220"/>
      <c r="RN126" s="221"/>
      <c r="RO126" s="222"/>
      <c r="RP126" s="222"/>
      <c r="RQ126" s="223"/>
      <c r="RR126" s="223"/>
      <c r="RS126" s="224"/>
      <c r="RT126" s="223"/>
      <c r="RU126" s="223"/>
      <c r="RV126" s="223"/>
      <c r="RW126" s="223"/>
      <c r="RX126" s="225"/>
      <c r="RY126" s="220"/>
      <c r="RZ126" s="221"/>
      <c r="SA126" s="222"/>
      <c r="SB126" s="222"/>
      <c r="SC126" s="223"/>
      <c r="SD126" s="223"/>
      <c r="SE126" s="224"/>
      <c r="SF126" s="223"/>
      <c r="SG126" s="223"/>
      <c r="SH126" s="223"/>
      <c r="SI126" s="223"/>
      <c r="SJ126" s="225"/>
      <c r="SK126" s="220"/>
      <c r="SL126" s="221"/>
      <c r="SM126" s="222"/>
      <c r="SN126" s="222"/>
      <c r="SO126" s="223"/>
      <c r="SP126" s="223"/>
      <c r="SQ126" s="224"/>
      <c r="SR126" s="223"/>
      <c r="SS126" s="223"/>
      <c r="ST126" s="223"/>
      <c r="SU126" s="223"/>
      <c r="SV126" s="225"/>
      <c r="SW126" s="220"/>
      <c r="SX126" s="221"/>
      <c r="SY126" s="222"/>
      <c r="SZ126" s="222"/>
      <c r="TA126" s="223"/>
      <c r="TB126" s="223"/>
      <c r="TC126" s="224"/>
      <c r="TD126" s="223"/>
      <c r="TE126" s="223"/>
      <c r="TF126" s="223"/>
      <c r="TG126" s="223"/>
      <c r="TH126" s="225"/>
      <c r="TI126" s="220"/>
      <c r="TJ126" s="221"/>
      <c r="TK126" s="222"/>
      <c r="TL126" s="222"/>
      <c r="TM126" s="223"/>
      <c r="TN126" s="223"/>
      <c r="TO126" s="224"/>
      <c r="TP126" s="223"/>
      <c r="TQ126" s="223"/>
      <c r="TR126" s="223"/>
      <c r="TS126" s="223"/>
      <c r="TT126" s="225"/>
      <c r="TU126" s="220"/>
      <c r="TV126" s="221"/>
      <c r="TW126" s="222"/>
      <c r="TX126" s="222"/>
      <c r="TY126" s="223"/>
      <c r="TZ126" s="223"/>
      <c r="UA126" s="224"/>
      <c r="UB126" s="223"/>
      <c r="UC126" s="223"/>
      <c r="UD126" s="223"/>
      <c r="UE126" s="223"/>
      <c r="UF126" s="225"/>
      <c r="UG126" s="220"/>
      <c r="UH126" s="221"/>
      <c r="UI126" s="222"/>
      <c r="UJ126" s="222"/>
      <c r="UK126" s="223"/>
      <c r="UL126" s="223"/>
      <c r="UM126" s="224"/>
      <c r="UN126" s="223"/>
      <c r="UO126" s="223"/>
      <c r="UP126" s="223"/>
      <c r="UQ126" s="223"/>
      <c r="UR126" s="225"/>
      <c r="US126" s="220"/>
      <c r="UT126" s="221"/>
      <c r="UU126" s="222"/>
      <c r="UV126" s="222"/>
      <c r="UW126" s="223"/>
      <c r="UX126" s="223"/>
      <c r="UY126" s="224"/>
      <c r="UZ126" s="223"/>
      <c r="VA126" s="223"/>
      <c r="VB126" s="223"/>
      <c r="VC126" s="223"/>
      <c r="VD126" s="225"/>
      <c r="VE126" s="220"/>
      <c r="VF126" s="221"/>
      <c r="VG126" s="222"/>
      <c r="VH126" s="222"/>
      <c r="VI126" s="223"/>
      <c r="VJ126" s="223"/>
      <c r="VK126" s="224"/>
      <c r="VL126" s="223"/>
      <c r="VM126" s="223"/>
      <c r="VN126" s="223"/>
      <c r="VO126" s="223"/>
      <c r="VP126" s="225"/>
      <c r="VQ126" s="220"/>
      <c r="VR126" s="221"/>
      <c r="VS126" s="222"/>
      <c r="VT126" s="222"/>
      <c r="VU126" s="223"/>
      <c r="VV126" s="223"/>
      <c r="VW126" s="224"/>
      <c r="VX126" s="223"/>
      <c r="VY126" s="223"/>
      <c r="VZ126" s="223"/>
      <c r="WA126" s="223"/>
      <c r="WB126" s="225"/>
      <c r="WC126" s="220"/>
      <c r="WD126" s="221"/>
      <c r="WE126" s="222"/>
      <c r="WF126" s="222"/>
      <c r="WG126" s="223"/>
      <c r="WH126" s="223"/>
      <c r="WI126" s="224"/>
      <c r="WJ126" s="223"/>
      <c r="WK126" s="223"/>
      <c r="WL126" s="223"/>
      <c r="WM126" s="223"/>
      <c r="WN126" s="225"/>
      <c r="WO126" s="220"/>
      <c r="WP126" s="221"/>
      <c r="WQ126" s="222"/>
      <c r="WR126" s="222"/>
      <c r="WS126" s="223"/>
      <c r="WT126" s="223"/>
      <c r="WU126" s="224"/>
      <c r="WV126" s="223"/>
      <c r="WW126" s="223"/>
      <c r="WX126" s="223"/>
      <c r="WY126" s="223"/>
      <c r="WZ126" s="225"/>
      <c r="XA126" s="220"/>
      <c r="XB126" s="221"/>
      <c r="XC126" s="222"/>
      <c r="XD126" s="222"/>
      <c r="XE126" s="223"/>
      <c r="XF126" s="223"/>
      <c r="XG126" s="224"/>
      <c r="XH126" s="223"/>
      <c r="XI126" s="223"/>
      <c r="XJ126" s="223"/>
      <c r="XK126" s="223"/>
      <c r="XL126" s="225"/>
      <c r="XM126" s="220"/>
      <c r="XN126" s="221"/>
      <c r="XO126" s="222"/>
      <c r="XP126" s="222"/>
      <c r="XQ126" s="223"/>
      <c r="XR126" s="223"/>
      <c r="XS126" s="224"/>
      <c r="XT126" s="223"/>
      <c r="XU126" s="223"/>
      <c r="XV126" s="223"/>
      <c r="XW126" s="223"/>
      <c r="XX126" s="225"/>
      <c r="XY126" s="220"/>
      <c r="XZ126" s="221"/>
      <c r="YA126" s="222"/>
      <c r="YB126" s="222"/>
      <c r="YC126" s="223"/>
      <c r="YD126" s="223"/>
      <c r="YE126" s="224"/>
      <c r="YF126" s="223"/>
      <c r="YG126" s="223"/>
      <c r="YH126" s="223"/>
      <c r="YI126" s="223"/>
      <c r="YJ126" s="225"/>
      <c r="YK126" s="220"/>
      <c r="YL126" s="221"/>
      <c r="YM126" s="222"/>
      <c r="YN126" s="222"/>
      <c r="YO126" s="223"/>
      <c r="YP126" s="223"/>
      <c r="YQ126" s="224"/>
      <c r="YR126" s="223"/>
      <c r="YS126" s="223"/>
      <c r="YT126" s="223"/>
      <c r="YU126" s="223"/>
      <c r="YV126" s="225"/>
      <c r="YW126" s="220"/>
      <c r="YX126" s="221"/>
      <c r="YY126" s="222"/>
      <c r="YZ126" s="222"/>
      <c r="ZA126" s="223"/>
      <c r="ZB126" s="223"/>
      <c r="ZC126" s="224"/>
      <c r="ZD126" s="223"/>
      <c r="ZE126" s="223"/>
      <c r="ZF126" s="223"/>
      <c r="ZG126" s="223"/>
      <c r="ZH126" s="225"/>
      <c r="ZI126" s="220"/>
      <c r="ZJ126" s="221"/>
      <c r="ZK126" s="222"/>
      <c r="ZL126" s="222"/>
      <c r="ZM126" s="223"/>
      <c r="ZN126" s="223"/>
      <c r="ZO126" s="224"/>
      <c r="ZP126" s="223"/>
      <c r="ZQ126" s="223"/>
      <c r="ZR126" s="223"/>
      <c r="ZS126" s="223"/>
      <c r="ZT126" s="225"/>
      <c r="ZU126" s="220"/>
      <c r="ZV126" s="221"/>
      <c r="ZW126" s="222"/>
      <c r="ZX126" s="222"/>
      <c r="ZY126" s="223"/>
      <c r="ZZ126" s="223"/>
      <c r="AAA126" s="224"/>
      <c r="AAB126" s="223"/>
      <c r="AAC126" s="223"/>
      <c r="AAD126" s="223"/>
      <c r="AAE126" s="223"/>
      <c r="AAF126" s="225"/>
      <c r="AAG126" s="220"/>
      <c r="AAH126" s="221"/>
      <c r="AAI126" s="222"/>
      <c r="AAJ126" s="222"/>
      <c r="AAK126" s="223"/>
      <c r="AAL126" s="223"/>
      <c r="AAM126" s="224"/>
      <c r="AAN126" s="223"/>
      <c r="AAO126" s="223"/>
      <c r="AAP126" s="223"/>
      <c r="AAQ126" s="223"/>
      <c r="AAR126" s="225"/>
      <c r="AAS126" s="220"/>
      <c r="AAT126" s="221"/>
      <c r="AAU126" s="222"/>
      <c r="AAV126" s="222"/>
      <c r="AAW126" s="223"/>
      <c r="AAX126" s="223"/>
      <c r="AAY126" s="224"/>
      <c r="AAZ126" s="223"/>
      <c r="ABA126" s="223"/>
      <c r="ABB126" s="223"/>
      <c r="ABC126" s="223"/>
      <c r="ABD126" s="225"/>
      <c r="ABE126" s="220"/>
      <c r="ABF126" s="221"/>
      <c r="ABG126" s="222"/>
      <c r="ABH126" s="222"/>
      <c r="ABI126" s="223"/>
      <c r="ABJ126" s="223"/>
      <c r="ABK126" s="224"/>
      <c r="ABL126" s="223"/>
      <c r="ABM126" s="223"/>
      <c r="ABN126" s="223"/>
      <c r="ABO126" s="223"/>
      <c r="ABP126" s="225"/>
      <c r="ABQ126" s="220"/>
      <c r="ABR126" s="221"/>
      <c r="ABS126" s="222"/>
      <c r="ABT126" s="222"/>
      <c r="ABU126" s="223"/>
      <c r="ABV126" s="223"/>
      <c r="ABW126" s="224"/>
      <c r="ABX126" s="223"/>
      <c r="ABY126" s="223"/>
      <c r="ABZ126" s="223"/>
      <c r="ACA126" s="223"/>
      <c r="ACB126" s="225"/>
      <c r="ACC126" s="220"/>
      <c r="ACD126" s="221"/>
      <c r="ACE126" s="222"/>
      <c r="ACF126" s="222"/>
      <c r="ACG126" s="223"/>
      <c r="ACH126" s="223"/>
      <c r="ACI126" s="224"/>
      <c r="ACJ126" s="223"/>
      <c r="ACK126" s="223"/>
      <c r="ACL126" s="223"/>
      <c r="ACM126" s="223"/>
      <c r="ACN126" s="225"/>
      <c r="ACO126" s="220"/>
      <c r="ACP126" s="221"/>
      <c r="ACQ126" s="222"/>
      <c r="ACR126" s="222"/>
      <c r="ACS126" s="223"/>
      <c r="ACT126" s="223"/>
      <c r="ACU126" s="224"/>
      <c r="ACV126" s="223"/>
      <c r="ACW126" s="223"/>
      <c r="ACX126" s="223"/>
      <c r="ACY126" s="223"/>
      <c r="ACZ126" s="225"/>
      <c r="ADA126" s="220"/>
      <c r="ADB126" s="221"/>
      <c r="ADC126" s="222"/>
      <c r="ADD126" s="222"/>
      <c r="ADE126" s="223"/>
      <c r="ADF126" s="223"/>
      <c r="ADG126" s="224"/>
      <c r="ADH126" s="223"/>
      <c r="ADI126" s="223"/>
      <c r="ADJ126" s="223"/>
      <c r="ADK126" s="223"/>
      <c r="ADL126" s="225"/>
      <c r="ADM126" s="220"/>
      <c r="ADN126" s="221"/>
      <c r="ADO126" s="222"/>
      <c r="ADP126" s="222"/>
      <c r="ADQ126" s="223"/>
      <c r="ADR126" s="223"/>
      <c r="ADS126" s="224"/>
      <c r="ADT126" s="223"/>
      <c r="ADU126" s="223"/>
      <c r="ADV126" s="223"/>
      <c r="ADW126" s="223"/>
      <c r="ADX126" s="225"/>
      <c r="ADY126" s="220"/>
      <c r="ADZ126" s="221"/>
      <c r="AEA126" s="222"/>
      <c r="AEB126" s="222"/>
      <c r="AEC126" s="223"/>
      <c r="AED126" s="223"/>
      <c r="AEE126" s="224"/>
      <c r="AEF126" s="223"/>
      <c r="AEG126" s="223"/>
      <c r="AEH126" s="223"/>
      <c r="AEI126" s="223"/>
      <c r="AEJ126" s="225"/>
      <c r="AEK126" s="220"/>
      <c r="AEL126" s="221"/>
      <c r="AEM126" s="222"/>
      <c r="AEN126" s="222"/>
      <c r="AEO126" s="223"/>
      <c r="AEP126" s="223"/>
      <c r="AEQ126" s="224"/>
      <c r="AER126" s="223"/>
      <c r="AES126" s="223"/>
      <c r="AET126" s="223"/>
      <c r="AEU126" s="223"/>
      <c r="AEV126" s="225"/>
      <c r="AEW126" s="220"/>
      <c r="AEX126" s="221"/>
      <c r="AEY126" s="222"/>
      <c r="AEZ126" s="222"/>
      <c r="AFA126" s="223"/>
      <c r="AFB126" s="223"/>
      <c r="AFC126" s="224"/>
      <c r="AFD126" s="223"/>
      <c r="AFE126" s="223"/>
      <c r="AFF126" s="223"/>
      <c r="AFG126" s="223"/>
      <c r="AFH126" s="225"/>
      <c r="AFI126" s="220"/>
      <c r="AFJ126" s="221"/>
      <c r="AFK126" s="222"/>
      <c r="AFL126" s="222"/>
      <c r="AFM126" s="223"/>
      <c r="AFN126" s="223"/>
      <c r="AFO126" s="224"/>
      <c r="AFP126" s="223"/>
      <c r="AFQ126" s="223"/>
      <c r="AFR126" s="223"/>
      <c r="AFS126" s="223"/>
      <c r="AFT126" s="225"/>
      <c r="AFU126" s="220"/>
      <c r="AFV126" s="221"/>
      <c r="AFW126" s="222"/>
      <c r="AFX126" s="222"/>
      <c r="AFY126" s="223"/>
      <c r="AFZ126" s="223"/>
      <c r="AGA126" s="224"/>
      <c r="AGB126" s="223"/>
      <c r="AGC126" s="223"/>
      <c r="AGD126" s="223"/>
      <c r="AGE126" s="223"/>
      <c r="AGF126" s="225"/>
      <c r="AGG126" s="220"/>
      <c r="AGH126" s="221"/>
      <c r="AGI126" s="222"/>
      <c r="AGJ126" s="222"/>
      <c r="AGK126" s="223"/>
      <c r="AGL126" s="223"/>
      <c r="AGM126" s="224"/>
      <c r="AGN126" s="223"/>
      <c r="AGO126" s="223"/>
      <c r="AGP126" s="223"/>
      <c r="AGQ126" s="223"/>
      <c r="AGR126" s="225"/>
      <c r="AGS126" s="220"/>
      <c r="AGT126" s="221"/>
      <c r="AGU126" s="222"/>
      <c r="AGV126" s="222"/>
      <c r="AGW126" s="223"/>
      <c r="AGX126" s="223"/>
      <c r="AGY126" s="224"/>
      <c r="AGZ126" s="223"/>
      <c r="AHA126" s="223"/>
      <c r="AHB126" s="223"/>
      <c r="AHC126" s="223"/>
      <c r="AHD126" s="225"/>
      <c r="AHE126" s="220"/>
      <c r="AHF126" s="221"/>
      <c r="AHG126" s="222"/>
      <c r="AHH126" s="222"/>
      <c r="AHI126" s="223"/>
      <c r="AHJ126" s="223"/>
      <c r="AHK126" s="224"/>
      <c r="AHL126" s="223"/>
      <c r="AHM126" s="223"/>
      <c r="AHN126" s="223"/>
      <c r="AHO126" s="223"/>
      <c r="AHP126" s="225"/>
      <c r="AHQ126" s="220"/>
      <c r="AHR126" s="221"/>
      <c r="AHS126" s="222"/>
      <c r="AHT126" s="222"/>
      <c r="AHU126" s="223"/>
      <c r="AHV126" s="223"/>
      <c r="AHW126" s="224"/>
      <c r="AHX126" s="223"/>
      <c r="AHY126" s="223"/>
      <c r="AHZ126" s="223"/>
      <c r="AIA126" s="223"/>
      <c r="AIB126" s="225"/>
      <c r="AIC126" s="220"/>
      <c r="AID126" s="221"/>
      <c r="AIE126" s="222"/>
      <c r="AIF126" s="222"/>
      <c r="AIG126" s="223"/>
      <c r="AIH126" s="223"/>
      <c r="AII126" s="224"/>
      <c r="AIJ126" s="223"/>
      <c r="AIK126" s="223"/>
      <c r="AIL126" s="223"/>
      <c r="AIM126" s="223"/>
      <c r="AIN126" s="225"/>
      <c r="AIO126" s="220"/>
      <c r="AIP126" s="221"/>
      <c r="AIQ126" s="222"/>
      <c r="AIR126" s="222"/>
      <c r="AIS126" s="223"/>
      <c r="AIT126" s="223"/>
      <c r="AIU126" s="224"/>
      <c r="AIV126" s="223"/>
      <c r="AIW126" s="223"/>
      <c r="AIX126" s="223"/>
      <c r="AIY126" s="223"/>
      <c r="AIZ126" s="225"/>
      <c r="AJA126" s="220"/>
      <c r="AJB126" s="221"/>
      <c r="AJC126" s="222"/>
      <c r="AJD126" s="222"/>
      <c r="AJE126" s="223"/>
      <c r="AJF126" s="223"/>
      <c r="AJG126" s="224"/>
      <c r="AJH126" s="223"/>
      <c r="AJI126" s="223"/>
      <c r="AJJ126" s="223"/>
      <c r="AJK126" s="223"/>
      <c r="AJL126" s="225"/>
      <c r="AJM126" s="220"/>
      <c r="AJN126" s="221"/>
      <c r="AJO126" s="222"/>
      <c r="AJP126" s="222"/>
      <c r="AJQ126" s="223"/>
      <c r="AJR126" s="223"/>
      <c r="AJS126" s="224"/>
      <c r="AJT126" s="223"/>
      <c r="AJU126" s="223"/>
      <c r="AJV126" s="223"/>
      <c r="AJW126" s="223"/>
      <c r="AJX126" s="225"/>
      <c r="AJY126" s="220"/>
      <c r="AJZ126" s="221"/>
      <c r="AKA126" s="222"/>
      <c r="AKB126" s="222"/>
      <c r="AKC126" s="223"/>
      <c r="AKD126" s="223"/>
      <c r="AKE126" s="224"/>
      <c r="AKF126" s="223"/>
      <c r="AKG126" s="223"/>
      <c r="AKH126" s="223"/>
      <c r="AKI126" s="223"/>
      <c r="AKJ126" s="225"/>
      <c r="AKK126" s="220"/>
      <c r="AKL126" s="221"/>
      <c r="AKM126" s="222"/>
      <c r="AKN126" s="222"/>
      <c r="AKO126" s="223"/>
      <c r="AKP126" s="223"/>
      <c r="AKQ126" s="224"/>
      <c r="AKR126" s="223"/>
      <c r="AKS126" s="223"/>
      <c r="AKT126" s="223"/>
      <c r="AKU126" s="223"/>
      <c r="AKV126" s="225"/>
      <c r="AKW126" s="220"/>
      <c r="AKX126" s="221"/>
      <c r="AKY126" s="222"/>
      <c r="AKZ126" s="222"/>
      <c r="ALA126" s="223"/>
      <c r="ALB126" s="223"/>
      <c r="ALC126" s="224"/>
      <c r="ALD126" s="223"/>
      <c r="ALE126" s="223"/>
      <c r="ALF126" s="223"/>
      <c r="ALG126" s="223"/>
      <c r="ALH126" s="225"/>
      <c r="ALI126" s="220"/>
      <c r="ALJ126" s="221"/>
      <c r="ALK126" s="222"/>
      <c r="ALL126" s="222"/>
      <c r="ALM126" s="223"/>
      <c r="ALN126" s="223"/>
      <c r="ALO126" s="224"/>
      <c r="ALP126" s="223"/>
      <c r="ALQ126" s="223"/>
      <c r="ALR126" s="223"/>
      <c r="ALS126" s="223"/>
      <c r="ALT126" s="225"/>
      <c r="ALU126" s="220"/>
      <c r="ALV126" s="221"/>
      <c r="ALW126" s="222"/>
      <c r="ALX126" s="222"/>
      <c r="ALY126" s="223"/>
      <c r="ALZ126" s="223"/>
      <c r="AMA126" s="224"/>
      <c r="AMB126" s="223"/>
      <c r="AMC126" s="223"/>
      <c r="AMD126" s="223"/>
      <c r="AME126" s="223"/>
      <c r="AMF126" s="225"/>
      <c r="AMG126" s="220"/>
      <c r="AMH126" s="221"/>
      <c r="AMI126" s="222"/>
      <c r="AMJ126" s="222"/>
      <c r="AMK126" s="223"/>
      <c r="AML126" s="223"/>
      <c r="AMM126" s="224"/>
      <c r="AMN126" s="223"/>
      <c r="AMO126" s="223"/>
      <c r="AMP126" s="223"/>
      <c r="AMQ126" s="223"/>
      <c r="AMR126" s="225"/>
      <c r="AMS126" s="220"/>
      <c r="AMT126" s="221"/>
      <c r="AMU126" s="222"/>
      <c r="AMV126" s="222"/>
      <c r="AMW126" s="223"/>
      <c r="AMX126" s="223"/>
      <c r="AMY126" s="224"/>
      <c r="AMZ126" s="223"/>
      <c r="ANA126" s="223"/>
      <c r="ANB126" s="223"/>
      <c r="ANC126" s="223"/>
      <c r="AND126" s="225"/>
      <c r="ANE126" s="220"/>
      <c r="ANF126" s="221"/>
      <c r="ANG126" s="222"/>
      <c r="ANH126" s="222"/>
      <c r="ANI126" s="223"/>
      <c r="ANJ126" s="223"/>
      <c r="ANK126" s="224"/>
      <c r="ANL126" s="223"/>
      <c r="ANM126" s="223"/>
      <c r="ANN126" s="223"/>
      <c r="ANO126" s="223"/>
      <c r="ANP126" s="225"/>
      <c r="ANQ126" s="220"/>
      <c r="ANR126" s="221"/>
      <c r="ANS126" s="222"/>
      <c r="ANT126" s="222"/>
      <c r="ANU126" s="223"/>
      <c r="ANV126" s="223"/>
      <c r="ANW126" s="224"/>
      <c r="ANX126" s="223"/>
      <c r="ANY126" s="223"/>
      <c r="ANZ126" s="223"/>
      <c r="AOA126" s="223"/>
      <c r="AOB126" s="225"/>
      <c r="AOC126" s="220"/>
      <c r="AOD126" s="221"/>
      <c r="AOE126" s="222"/>
      <c r="AOF126" s="222"/>
      <c r="AOG126" s="223"/>
      <c r="AOH126" s="223"/>
      <c r="AOI126" s="224"/>
      <c r="AOJ126" s="223"/>
      <c r="AOK126" s="223"/>
      <c r="AOL126" s="223"/>
      <c r="AOM126" s="223"/>
      <c r="AON126" s="225"/>
      <c r="AOO126" s="220"/>
      <c r="AOP126" s="221"/>
      <c r="AOQ126" s="222"/>
      <c r="AOR126" s="222"/>
      <c r="AOS126" s="223"/>
      <c r="AOT126" s="223"/>
      <c r="AOU126" s="224"/>
      <c r="AOV126" s="223"/>
      <c r="AOW126" s="223"/>
      <c r="AOX126" s="223"/>
      <c r="AOY126" s="223"/>
      <c r="AOZ126" s="225"/>
      <c r="APA126" s="220"/>
      <c r="APB126" s="221"/>
      <c r="APC126" s="222"/>
      <c r="APD126" s="222"/>
      <c r="APE126" s="223"/>
      <c r="APF126" s="223"/>
      <c r="APG126" s="224"/>
      <c r="APH126" s="223"/>
      <c r="API126" s="223"/>
      <c r="APJ126" s="223"/>
      <c r="APK126" s="223"/>
      <c r="APL126" s="225"/>
      <c r="APM126" s="220"/>
      <c r="APN126" s="221"/>
      <c r="APO126" s="222"/>
      <c r="APP126" s="222"/>
      <c r="APQ126" s="223"/>
      <c r="APR126" s="223"/>
      <c r="APS126" s="224"/>
      <c r="APT126" s="223"/>
      <c r="APU126" s="223"/>
      <c r="APV126" s="223"/>
      <c r="APW126" s="223"/>
      <c r="APX126" s="225"/>
      <c r="APY126" s="220"/>
      <c r="APZ126" s="221"/>
      <c r="AQA126" s="222"/>
      <c r="AQB126" s="222"/>
      <c r="AQC126" s="223"/>
      <c r="AQD126" s="223"/>
      <c r="AQE126" s="224"/>
      <c r="AQF126" s="223"/>
      <c r="AQG126" s="223"/>
      <c r="AQH126" s="223"/>
      <c r="AQI126" s="223"/>
      <c r="AQJ126" s="225"/>
      <c r="AQK126" s="220"/>
      <c r="AQL126" s="221"/>
      <c r="AQM126" s="222"/>
      <c r="AQN126" s="222"/>
      <c r="AQO126" s="223"/>
      <c r="AQP126" s="223"/>
      <c r="AQQ126" s="224"/>
      <c r="AQR126" s="223"/>
      <c r="AQS126" s="223"/>
      <c r="AQT126" s="223"/>
      <c r="AQU126" s="223"/>
      <c r="AQV126" s="225"/>
      <c r="AQW126" s="220"/>
      <c r="AQX126" s="221"/>
      <c r="AQY126" s="222"/>
      <c r="AQZ126" s="222"/>
      <c r="ARA126" s="223"/>
      <c r="ARB126" s="223"/>
      <c r="ARC126" s="224"/>
      <c r="ARD126" s="223"/>
      <c r="ARE126" s="223"/>
      <c r="ARF126" s="223"/>
      <c r="ARG126" s="223"/>
      <c r="ARH126" s="225"/>
      <c r="ARI126" s="220"/>
      <c r="ARJ126" s="221"/>
      <c r="ARK126" s="222"/>
      <c r="ARL126" s="222"/>
      <c r="ARM126" s="223"/>
      <c r="ARN126" s="223"/>
      <c r="ARO126" s="224"/>
      <c r="ARP126" s="223"/>
      <c r="ARQ126" s="223"/>
      <c r="ARR126" s="223"/>
      <c r="ARS126" s="223"/>
      <c r="ART126" s="225"/>
      <c r="ARU126" s="220"/>
      <c r="ARV126" s="221"/>
      <c r="ARW126" s="222"/>
      <c r="ARX126" s="222"/>
      <c r="ARY126" s="223"/>
      <c r="ARZ126" s="223"/>
      <c r="ASA126" s="224"/>
      <c r="ASB126" s="223"/>
      <c r="ASC126" s="223"/>
      <c r="ASD126" s="223"/>
      <c r="ASE126" s="223"/>
      <c r="ASF126" s="225"/>
      <c r="ASG126" s="220"/>
      <c r="ASH126" s="221"/>
      <c r="ASI126" s="222"/>
      <c r="ASJ126" s="222"/>
      <c r="ASK126" s="223"/>
      <c r="ASL126" s="223"/>
      <c r="ASM126" s="224"/>
      <c r="ASN126" s="223"/>
      <c r="ASO126" s="223"/>
      <c r="ASP126" s="223"/>
      <c r="ASQ126" s="223"/>
      <c r="ASR126" s="225"/>
      <c r="ASS126" s="220"/>
      <c r="AST126" s="221"/>
      <c r="ASU126" s="222"/>
      <c r="ASV126" s="222"/>
      <c r="ASW126" s="223"/>
      <c r="ASX126" s="223"/>
      <c r="ASY126" s="224"/>
      <c r="ASZ126" s="223"/>
      <c r="ATA126" s="223"/>
      <c r="ATB126" s="223"/>
      <c r="ATC126" s="223"/>
      <c r="ATD126" s="225"/>
      <c r="ATE126" s="220"/>
      <c r="ATF126" s="221"/>
      <c r="ATG126" s="222"/>
      <c r="ATH126" s="222"/>
      <c r="ATI126" s="223"/>
      <c r="ATJ126" s="223"/>
      <c r="ATK126" s="224"/>
      <c r="ATL126" s="223"/>
      <c r="ATM126" s="223"/>
      <c r="ATN126" s="223"/>
      <c r="ATO126" s="223"/>
      <c r="ATP126" s="225"/>
      <c r="ATQ126" s="220"/>
      <c r="ATR126" s="221"/>
      <c r="ATS126" s="222"/>
      <c r="ATT126" s="222"/>
      <c r="ATU126" s="223"/>
      <c r="ATV126" s="223"/>
      <c r="ATW126" s="224"/>
      <c r="ATX126" s="223"/>
      <c r="ATY126" s="223"/>
      <c r="ATZ126" s="223"/>
      <c r="AUA126" s="223"/>
      <c r="AUB126" s="225"/>
      <c r="AUC126" s="220"/>
      <c r="AUD126" s="221"/>
      <c r="AUE126" s="222"/>
      <c r="AUF126" s="222"/>
      <c r="AUG126" s="223"/>
      <c r="AUH126" s="223"/>
      <c r="AUI126" s="224"/>
      <c r="AUJ126" s="223"/>
      <c r="AUK126" s="223"/>
      <c r="AUL126" s="223"/>
      <c r="AUM126" s="223"/>
      <c r="AUN126" s="225"/>
      <c r="AUO126" s="220"/>
      <c r="AUP126" s="221"/>
      <c r="AUQ126" s="222"/>
      <c r="AUR126" s="222"/>
      <c r="AUS126" s="223"/>
      <c r="AUT126" s="223"/>
      <c r="AUU126" s="224"/>
      <c r="AUV126" s="223"/>
      <c r="AUW126" s="223"/>
      <c r="AUX126" s="223"/>
      <c r="AUY126" s="223"/>
      <c r="AUZ126" s="225"/>
      <c r="AVA126" s="220"/>
      <c r="AVB126" s="221"/>
      <c r="AVC126" s="222"/>
      <c r="AVD126" s="222"/>
      <c r="AVE126" s="223"/>
      <c r="AVF126" s="223"/>
      <c r="AVG126" s="224"/>
      <c r="AVH126" s="223"/>
      <c r="AVI126" s="223"/>
      <c r="AVJ126" s="223"/>
      <c r="AVK126" s="223"/>
      <c r="AVL126" s="225"/>
      <c r="AVM126" s="220"/>
      <c r="AVN126" s="221"/>
      <c r="AVO126" s="222"/>
      <c r="AVP126" s="222"/>
      <c r="AVQ126" s="223"/>
      <c r="AVR126" s="223"/>
      <c r="AVS126" s="224"/>
      <c r="AVT126" s="223"/>
      <c r="AVU126" s="223"/>
      <c r="AVV126" s="223"/>
      <c r="AVW126" s="223"/>
      <c r="AVX126" s="225"/>
      <c r="AVY126" s="220"/>
      <c r="AVZ126" s="221"/>
      <c r="AWA126" s="222"/>
      <c r="AWB126" s="222"/>
      <c r="AWC126" s="223"/>
      <c r="AWD126" s="223"/>
      <c r="AWE126" s="224"/>
      <c r="AWF126" s="223"/>
      <c r="AWG126" s="223"/>
      <c r="AWH126" s="223"/>
      <c r="AWI126" s="223"/>
      <c r="AWJ126" s="225"/>
      <c r="AWK126" s="220"/>
      <c r="AWL126" s="221"/>
      <c r="AWM126" s="222"/>
      <c r="AWN126" s="222"/>
      <c r="AWO126" s="223"/>
      <c r="AWP126" s="223"/>
      <c r="AWQ126" s="224"/>
      <c r="AWR126" s="223"/>
      <c r="AWS126" s="223"/>
      <c r="AWT126" s="223"/>
      <c r="AWU126" s="223"/>
      <c r="AWV126" s="225"/>
      <c r="AWW126" s="220"/>
      <c r="AWX126" s="221"/>
      <c r="AWY126" s="222"/>
      <c r="AWZ126" s="222"/>
      <c r="AXA126" s="223"/>
      <c r="AXB126" s="223"/>
      <c r="AXC126" s="224"/>
      <c r="AXD126" s="223"/>
      <c r="AXE126" s="223"/>
      <c r="AXF126" s="223"/>
      <c r="AXG126" s="223"/>
      <c r="AXH126" s="225"/>
      <c r="AXI126" s="220"/>
      <c r="AXJ126" s="221"/>
      <c r="AXK126" s="222"/>
      <c r="AXL126" s="222"/>
      <c r="AXM126" s="223"/>
      <c r="AXN126" s="223"/>
      <c r="AXO126" s="224"/>
      <c r="AXP126" s="223"/>
      <c r="AXQ126" s="223"/>
      <c r="AXR126" s="223"/>
      <c r="AXS126" s="223"/>
      <c r="AXT126" s="225"/>
      <c r="AXU126" s="220"/>
      <c r="AXV126" s="221"/>
      <c r="AXW126" s="222"/>
      <c r="AXX126" s="222"/>
      <c r="AXY126" s="223"/>
      <c r="AXZ126" s="223"/>
      <c r="AYA126" s="224"/>
      <c r="AYB126" s="223"/>
      <c r="AYC126" s="223"/>
      <c r="AYD126" s="223"/>
      <c r="AYE126" s="223"/>
      <c r="AYF126" s="225"/>
      <c r="AYG126" s="220"/>
      <c r="AYH126" s="221"/>
      <c r="AYI126" s="222"/>
      <c r="AYJ126" s="222"/>
      <c r="AYK126" s="223"/>
      <c r="AYL126" s="223"/>
      <c r="AYM126" s="224"/>
      <c r="AYN126" s="223"/>
      <c r="AYO126" s="223"/>
      <c r="AYP126" s="223"/>
      <c r="AYQ126" s="223"/>
      <c r="AYR126" s="225"/>
      <c r="AYS126" s="220"/>
      <c r="AYT126" s="221"/>
      <c r="AYU126" s="222"/>
      <c r="AYV126" s="222"/>
      <c r="AYW126" s="223"/>
      <c r="AYX126" s="223"/>
      <c r="AYY126" s="224"/>
      <c r="AYZ126" s="223"/>
      <c r="AZA126" s="223"/>
      <c r="AZB126" s="223"/>
      <c r="AZC126" s="223"/>
      <c r="AZD126" s="225"/>
      <c r="AZE126" s="220"/>
      <c r="AZF126" s="221"/>
      <c r="AZG126" s="222"/>
      <c r="AZH126" s="222"/>
      <c r="AZI126" s="223"/>
      <c r="AZJ126" s="223"/>
      <c r="AZK126" s="224"/>
      <c r="AZL126" s="223"/>
      <c r="AZM126" s="223"/>
      <c r="AZN126" s="223"/>
      <c r="AZO126" s="223"/>
      <c r="AZP126" s="225"/>
      <c r="AZQ126" s="220"/>
      <c r="AZR126" s="221"/>
      <c r="AZS126" s="222"/>
      <c r="AZT126" s="222"/>
      <c r="AZU126" s="223"/>
      <c r="AZV126" s="223"/>
      <c r="AZW126" s="224"/>
      <c r="AZX126" s="223"/>
      <c r="AZY126" s="223"/>
      <c r="AZZ126" s="223"/>
      <c r="BAA126" s="223"/>
      <c r="BAB126" s="225"/>
      <c r="BAC126" s="220"/>
      <c r="BAD126" s="221"/>
      <c r="BAE126" s="222"/>
      <c r="BAF126" s="222"/>
      <c r="BAG126" s="223"/>
      <c r="BAH126" s="223"/>
      <c r="BAI126" s="224"/>
      <c r="BAJ126" s="223"/>
      <c r="BAK126" s="223"/>
      <c r="BAL126" s="223"/>
      <c r="BAM126" s="223"/>
      <c r="BAN126" s="225"/>
      <c r="BAO126" s="220"/>
      <c r="BAP126" s="221"/>
      <c r="BAQ126" s="222"/>
      <c r="BAR126" s="222"/>
      <c r="BAS126" s="223"/>
      <c r="BAT126" s="223"/>
      <c r="BAU126" s="224"/>
      <c r="BAV126" s="223"/>
      <c r="BAW126" s="223"/>
      <c r="BAX126" s="223"/>
      <c r="BAY126" s="223"/>
      <c r="BAZ126" s="225"/>
      <c r="BBA126" s="220"/>
      <c r="BBB126" s="221"/>
      <c r="BBC126" s="222"/>
      <c r="BBD126" s="222"/>
      <c r="BBE126" s="223"/>
      <c r="BBF126" s="223"/>
      <c r="BBG126" s="224"/>
      <c r="BBH126" s="223"/>
      <c r="BBI126" s="223"/>
      <c r="BBJ126" s="223"/>
      <c r="BBK126" s="223"/>
      <c r="BBL126" s="225"/>
      <c r="BBM126" s="220"/>
      <c r="BBN126" s="221"/>
      <c r="BBO126" s="222"/>
      <c r="BBP126" s="222"/>
      <c r="BBQ126" s="223"/>
      <c r="BBR126" s="223"/>
      <c r="BBS126" s="224"/>
      <c r="BBT126" s="223"/>
      <c r="BBU126" s="223"/>
      <c r="BBV126" s="223"/>
      <c r="BBW126" s="223"/>
      <c r="BBX126" s="225"/>
      <c r="BBY126" s="220"/>
      <c r="BBZ126" s="221"/>
      <c r="BCA126" s="222"/>
      <c r="BCB126" s="222"/>
      <c r="BCC126" s="223"/>
      <c r="BCD126" s="223"/>
      <c r="BCE126" s="224"/>
      <c r="BCF126" s="223"/>
      <c r="BCG126" s="223"/>
      <c r="BCH126" s="223"/>
      <c r="BCI126" s="223"/>
      <c r="BCJ126" s="225"/>
      <c r="BCK126" s="220"/>
      <c r="BCL126" s="221"/>
      <c r="BCM126" s="222"/>
      <c r="BCN126" s="222"/>
      <c r="BCO126" s="223"/>
      <c r="BCP126" s="223"/>
      <c r="BCQ126" s="224"/>
      <c r="BCR126" s="223"/>
      <c r="BCS126" s="223"/>
      <c r="BCT126" s="223"/>
      <c r="BCU126" s="223"/>
      <c r="BCV126" s="225"/>
      <c r="BCW126" s="220"/>
      <c r="BCX126" s="221"/>
      <c r="BCY126" s="222"/>
      <c r="BCZ126" s="222"/>
      <c r="BDA126" s="223"/>
      <c r="BDB126" s="223"/>
      <c r="BDC126" s="224"/>
      <c r="BDD126" s="223"/>
      <c r="BDE126" s="223"/>
      <c r="BDF126" s="223"/>
      <c r="BDG126" s="223"/>
      <c r="BDH126" s="225"/>
      <c r="BDI126" s="220"/>
      <c r="BDJ126" s="221"/>
      <c r="BDK126" s="222"/>
      <c r="BDL126" s="222"/>
      <c r="BDM126" s="223"/>
      <c r="BDN126" s="223"/>
      <c r="BDO126" s="224"/>
      <c r="BDP126" s="223"/>
      <c r="BDQ126" s="223"/>
      <c r="BDR126" s="223"/>
      <c r="BDS126" s="223"/>
      <c r="BDT126" s="225"/>
      <c r="BDU126" s="220"/>
      <c r="BDV126" s="221"/>
      <c r="BDW126" s="222"/>
      <c r="BDX126" s="222"/>
      <c r="BDY126" s="223"/>
      <c r="BDZ126" s="223"/>
      <c r="BEA126" s="224"/>
      <c r="BEB126" s="223"/>
      <c r="BEC126" s="223"/>
      <c r="BED126" s="223"/>
      <c r="BEE126" s="223"/>
      <c r="BEF126" s="225"/>
      <c r="BEG126" s="220"/>
      <c r="BEH126" s="221"/>
      <c r="BEI126" s="222"/>
      <c r="BEJ126" s="222"/>
      <c r="BEK126" s="223"/>
      <c r="BEL126" s="223"/>
      <c r="BEM126" s="224"/>
      <c r="BEN126" s="223"/>
      <c r="BEO126" s="223"/>
      <c r="BEP126" s="223"/>
      <c r="BEQ126" s="223"/>
      <c r="BER126" s="225"/>
      <c r="BES126" s="220"/>
      <c r="BET126" s="221"/>
      <c r="BEU126" s="222"/>
      <c r="BEV126" s="222"/>
      <c r="BEW126" s="223"/>
      <c r="BEX126" s="223"/>
      <c r="BEY126" s="224"/>
      <c r="BEZ126" s="223"/>
      <c r="BFA126" s="223"/>
      <c r="BFB126" s="223"/>
      <c r="BFC126" s="223"/>
      <c r="BFD126" s="225"/>
      <c r="BFE126" s="220"/>
      <c r="BFF126" s="221"/>
      <c r="BFG126" s="222"/>
      <c r="BFH126" s="222"/>
      <c r="BFI126" s="223"/>
      <c r="BFJ126" s="223"/>
      <c r="BFK126" s="224"/>
      <c r="BFL126" s="223"/>
      <c r="BFM126" s="223"/>
      <c r="BFN126" s="223"/>
      <c r="BFO126" s="223"/>
      <c r="BFP126" s="225"/>
      <c r="BFQ126" s="220"/>
      <c r="BFR126" s="221"/>
      <c r="BFS126" s="222"/>
      <c r="BFT126" s="222"/>
      <c r="BFU126" s="223"/>
      <c r="BFV126" s="223"/>
      <c r="BFW126" s="224"/>
      <c r="BFX126" s="223"/>
      <c r="BFY126" s="223"/>
      <c r="BFZ126" s="223"/>
      <c r="BGA126" s="223"/>
      <c r="BGB126" s="225"/>
      <c r="BGC126" s="220"/>
      <c r="BGD126" s="221"/>
      <c r="BGE126" s="222"/>
      <c r="BGF126" s="222"/>
      <c r="BGG126" s="223"/>
      <c r="BGH126" s="223"/>
      <c r="BGI126" s="224"/>
      <c r="BGJ126" s="223"/>
      <c r="BGK126" s="223"/>
      <c r="BGL126" s="223"/>
      <c r="BGM126" s="223"/>
      <c r="BGN126" s="225"/>
      <c r="BGO126" s="220"/>
      <c r="BGP126" s="221"/>
      <c r="BGQ126" s="222"/>
      <c r="BGR126" s="222"/>
      <c r="BGS126" s="223"/>
      <c r="BGT126" s="223"/>
      <c r="BGU126" s="224"/>
      <c r="BGV126" s="223"/>
      <c r="BGW126" s="223"/>
      <c r="BGX126" s="223"/>
      <c r="BGY126" s="223"/>
      <c r="BGZ126" s="225"/>
      <c r="BHA126" s="220"/>
      <c r="BHB126" s="221"/>
      <c r="BHC126" s="222"/>
      <c r="BHD126" s="222"/>
      <c r="BHE126" s="223"/>
      <c r="BHF126" s="223"/>
      <c r="BHG126" s="224"/>
      <c r="BHH126" s="223"/>
      <c r="BHI126" s="223"/>
      <c r="BHJ126" s="223"/>
      <c r="BHK126" s="223"/>
      <c r="BHL126" s="225"/>
      <c r="BHM126" s="220"/>
      <c r="BHN126" s="221"/>
      <c r="BHO126" s="222"/>
      <c r="BHP126" s="222"/>
      <c r="BHQ126" s="223"/>
      <c r="BHR126" s="223"/>
      <c r="BHS126" s="224"/>
      <c r="BHT126" s="223"/>
      <c r="BHU126" s="223"/>
      <c r="BHV126" s="223"/>
      <c r="BHW126" s="223"/>
      <c r="BHX126" s="225"/>
      <c r="BHY126" s="220"/>
      <c r="BHZ126" s="221"/>
      <c r="BIA126" s="222"/>
      <c r="BIB126" s="222"/>
      <c r="BIC126" s="223"/>
      <c r="BID126" s="223"/>
      <c r="BIE126" s="224"/>
      <c r="BIF126" s="223"/>
      <c r="BIG126" s="223"/>
      <c r="BIH126" s="223"/>
      <c r="BII126" s="223"/>
      <c r="BIJ126" s="225"/>
      <c r="BIK126" s="220"/>
      <c r="BIL126" s="221"/>
      <c r="BIM126" s="222"/>
      <c r="BIN126" s="222"/>
      <c r="BIO126" s="223"/>
      <c r="BIP126" s="223"/>
      <c r="BIQ126" s="224"/>
      <c r="BIR126" s="223"/>
      <c r="BIS126" s="223"/>
      <c r="BIT126" s="223"/>
      <c r="BIU126" s="223"/>
      <c r="BIV126" s="225"/>
      <c r="BIW126" s="220"/>
      <c r="BIX126" s="221"/>
      <c r="BIY126" s="222"/>
      <c r="BIZ126" s="222"/>
      <c r="BJA126" s="223"/>
      <c r="BJB126" s="223"/>
      <c r="BJC126" s="224"/>
      <c r="BJD126" s="223"/>
      <c r="BJE126" s="223"/>
      <c r="BJF126" s="223"/>
      <c r="BJG126" s="223"/>
      <c r="BJH126" s="225"/>
      <c r="BJI126" s="220"/>
      <c r="BJJ126" s="221"/>
      <c r="BJK126" s="222"/>
      <c r="BJL126" s="222"/>
      <c r="BJM126" s="223"/>
      <c r="BJN126" s="223"/>
      <c r="BJO126" s="224"/>
      <c r="BJP126" s="223"/>
      <c r="BJQ126" s="223"/>
      <c r="BJR126" s="223"/>
      <c r="BJS126" s="223"/>
      <c r="BJT126" s="225"/>
      <c r="BJU126" s="220"/>
      <c r="BJV126" s="221"/>
      <c r="BJW126" s="222"/>
      <c r="BJX126" s="222"/>
      <c r="BJY126" s="223"/>
      <c r="BJZ126" s="223"/>
      <c r="BKA126" s="224"/>
      <c r="BKB126" s="223"/>
      <c r="BKC126" s="223"/>
      <c r="BKD126" s="223"/>
      <c r="BKE126" s="223"/>
      <c r="BKF126" s="225"/>
      <c r="BKG126" s="220"/>
      <c r="BKH126" s="221"/>
      <c r="BKI126" s="222"/>
      <c r="BKJ126" s="222"/>
      <c r="BKK126" s="223"/>
      <c r="BKL126" s="223"/>
      <c r="BKM126" s="224"/>
      <c r="BKN126" s="223"/>
      <c r="BKO126" s="223"/>
      <c r="BKP126" s="223"/>
      <c r="BKQ126" s="223"/>
      <c r="BKR126" s="225"/>
      <c r="BKS126" s="220"/>
      <c r="BKT126" s="221"/>
      <c r="BKU126" s="222"/>
      <c r="BKV126" s="222"/>
      <c r="BKW126" s="223"/>
      <c r="BKX126" s="223"/>
      <c r="BKY126" s="224"/>
      <c r="BKZ126" s="223"/>
      <c r="BLA126" s="223"/>
      <c r="BLB126" s="223"/>
      <c r="BLC126" s="223"/>
      <c r="BLD126" s="225"/>
      <c r="BLE126" s="220"/>
      <c r="BLF126" s="221"/>
      <c r="BLG126" s="222"/>
      <c r="BLH126" s="222"/>
      <c r="BLI126" s="223"/>
      <c r="BLJ126" s="223"/>
      <c r="BLK126" s="224"/>
      <c r="BLL126" s="223"/>
      <c r="BLM126" s="223"/>
      <c r="BLN126" s="223"/>
      <c r="BLO126" s="223"/>
      <c r="BLP126" s="225"/>
      <c r="BLQ126" s="220"/>
      <c r="BLR126" s="221"/>
      <c r="BLS126" s="222"/>
      <c r="BLT126" s="222"/>
      <c r="BLU126" s="223"/>
      <c r="BLV126" s="223"/>
      <c r="BLW126" s="224"/>
      <c r="BLX126" s="223"/>
      <c r="BLY126" s="223"/>
      <c r="BLZ126" s="223"/>
      <c r="BMA126" s="223"/>
      <c r="BMB126" s="225"/>
      <c r="BMC126" s="220"/>
      <c r="BMD126" s="221"/>
      <c r="BME126" s="222"/>
      <c r="BMF126" s="222"/>
      <c r="BMG126" s="223"/>
      <c r="BMH126" s="223"/>
      <c r="BMI126" s="224"/>
      <c r="BMJ126" s="223"/>
      <c r="BMK126" s="223"/>
      <c r="BML126" s="223"/>
      <c r="BMM126" s="223"/>
      <c r="BMN126" s="225"/>
      <c r="BMO126" s="220"/>
      <c r="BMP126" s="221"/>
      <c r="BMQ126" s="222"/>
      <c r="BMR126" s="222"/>
      <c r="BMS126" s="223"/>
      <c r="BMT126" s="223"/>
      <c r="BMU126" s="224"/>
      <c r="BMV126" s="223"/>
      <c r="BMW126" s="223"/>
      <c r="BMX126" s="223"/>
      <c r="BMY126" s="223"/>
      <c r="BMZ126" s="225"/>
      <c r="BNA126" s="220"/>
      <c r="BNB126" s="221"/>
      <c r="BNC126" s="222"/>
      <c r="BND126" s="222"/>
      <c r="BNE126" s="223"/>
      <c r="BNF126" s="223"/>
      <c r="BNG126" s="224"/>
      <c r="BNH126" s="223"/>
      <c r="BNI126" s="223"/>
      <c r="BNJ126" s="223"/>
      <c r="BNK126" s="223"/>
      <c r="BNL126" s="225"/>
      <c r="BNM126" s="220"/>
      <c r="BNN126" s="221"/>
      <c r="BNO126" s="222"/>
      <c r="BNP126" s="222"/>
      <c r="BNQ126" s="223"/>
      <c r="BNR126" s="223"/>
      <c r="BNS126" s="224"/>
      <c r="BNT126" s="223"/>
      <c r="BNU126" s="223"/>
      <c r="BNV126" s="223"/>
      <c r="BNW126" s="223"/>
      <c r="BNX126" s="225"/>
      <c r="BNY126" s="220"/>
      <c r="BNZ126" s="221"/>
      <c r="BOA126" s="222"/>
      <c r="BOB126" s="222"/>
      <c r="BOC126" s="223"/>
      <c r="BOD126" s="223"/>
      <c r="BOE126" s="224"/>
      <c r="BOF126" s="223"/>
      <c r="BOG126" s="223"/>
      <c r="BOH126" s="223"/>
      <c r="BOI126" s="223"/>
      <c r="BOJ126" s="225"/>
      <c r="BOK126" s="220"/>
      <c r="BOL126" s="221"/>
      <c r="BOM126" s="222"/>
      <c r="BON126" s="222"/>
      <c r="BOO126" s="223"/>
      <c r="BOP126" s="223"/>
      <c r="BOQ126" s="224"/>
      <c r="BOR126" s="223"/>
      <c r="BOS126" s="223"/>
      <c r="BOT126" s="223"/>
      <c r="BOU126" s="223"/>
      <c r="BOV126" s="225"/>
      <c r="BOW126" s="220"/>
      <c r="BOX126" s="221"/>
      <c r="BOY126" s="222"/>
      <c r="BOZ126" s="222"/>
      <c r="BPA126" s="223"/>
      <c r="BPB126" s="223"/>
      <c r="BPC126" s="224"/>
      <c r="BPD126" s="223"/>
      <c r="BPE126" s="223"/>
      <c r="BPF126" s="223"/>
      <c r="BPG126" s="223"/>
      <c r="BPH126" s="225"/>
      <c r="BPI126" s="220"/>
      <c r="BPJ126" s="221"/>
      <c r="BPK126" s="222"/>
      <c r="BPL126" s="222"/>
      <c r="BPM126" s="223"/>
      <c r="BPN126" s="223"/>
      <c r="BPO126" s="224"/>
      <c r="BPP126" s="223"/>
      <c r="BPQ126" s="223"/>
      <c r="BPR126" s="223"/>
      <c r="BPS126" s="223"/>
      <c r="BPT126" s="225"/>
      <c r="BPU126" s="220"/>
      <c r="BPV126" s="221"/>
      <c r="BPW126" s="222"/>
      <c r="BPX126" s="222"/>
      <c r="BPY126" s="223"/>
      <c r="BPZ126" s="223"/>
      <c r="BQA126" s="224"/>
      <c r="BQB126" s="223"/>
      <c r="BQC126" s="223"/>
      <c r="BQD126" s="223"/>
      <c r="BQE126" s="223"/>
      <c r="BQF126" s="225"/>
      <c r="BQG126" s="220"/>
      <c r="BQH126" s="221"/>
      <c r="BQI126" s="222"/>
      <c r="BQJ126" s="222"/>
      <c r="BQK126" s="223"/>
      <c r="BQL126" s="223"/>
      <c r="BQM126" s="224"/>
      <c r="BQN126" s="223"/>
      <c r="BQO126" s="223"/>
      <c r="BQP126" s="223"/>
      <c r="BQQ126" s="223"/>
      <c r="BQR126" s="225"/>
      <c r="BQS126" s="220"/>
      <c r="BQT126" s="221"/>
      <c r="BQU126" s="222"/>
      <c r="BQV126" s="222"/>
      <c r="BQW126" s="223"/>
      <c r="BQX126" s="223"/>
      <c r="BQY126" s="224"/>
      <c r="BQZ126" s="223"/>
      <c r="BRA126" s="223"/>
      <c r="BRB126" s="223"/>
      <c r="BRC126" s="223"/>
      <c r="BRD126" s="225"/>
      <c r="BRE126" s="220"/>
      <c r="BRF126" s="221"/>
      <c r="BRG126" s="222"/>
      <c r="BRH126" s="222"/>
      <c r="BRI126" s="223"/>
      <c r="BRJ126" s="223"/>
      <c r="BRK126" s="224"/>
      <c r="BRL126" s="223"/>
      <c r="BRM126" s="223"/>
      <c r="BRN126" s="223"/>
      <c r="BRO126" s="223"/>
      <c r="BRP126" s="225"/>
      <c r="BRQ126" s="220"/>
      <c r="BRR126" s="221"/>
      <c r="BRS126" s="222"/>
      <c r="BRT126" s="222"/>
      <c r="BRU126" s="223"/>
      <c r="BRV126" s="223"/>
      <c r="BRW126" s="224"/>
      <c r="BRX126" s="223"/>
      <c r="BRY126" s="223"/>
      <c r="BRZ126" s="223"/>
      <c r="BSA126" s="223"/>
      <c r="BSB126" s="225"/>
      <c r="BSC126" s="220"/>
      <c r="BSD126" s="221"/>
      <c r="BSE126" s="222"/>
      <c r="BSF126" s="222"/>
      <c r="BSG126" s="223"/>
      <c r="BSH126" s="223"/>
      <c r="BSI126" s="224"/>
      <c r="BSJ126" s="223"/>
      <c r="BSK126" s="223"/>
      <c r="BSL126" s="223"/>
      <c r="BSM126" s="223"/>
      <c r="BSN126" s="225"/>
      <c r="BSO126" s="220"/>
      <c r="BSP126" s="221"/>
      <c r="BSQ126" s="222"/>
      <c r="BSR126" s="222"/>
      <c r="BSS126" s="223"/>
      <c r="BST126" s="223"/>
      <c r="BSU126" s="224"/>
      <c r="BSV126" s="223"/>
      <c r="BSW126" s="223"/>
      <c r="BSX126" s="223"/>
      <c r="BSY126" s="223"/>
      <c r="BSZ126" s="225"/>
      <c r="BTA126" s="220"/>
      <c r="BTB126" s="221"/>
      <c r="BTC126" s="222"/>
      <c r="BTD126" s="222"/>
      <c r="BTE126" s="223"/>
      <c r="BTF126" s="223"/>
      <c r="BTG126" s="224"/>
      <c r="BTH126" s="223"/>
      <c r="BTI126" s="223"/>
      <c r="BTJ126" s="223"/>
      <c r="BTK126" s="223"/>
      <c r="BTL126" s="225"/>
      <c r="BTM126" s="220"/>
      <c r="BTN126" s="221"/>
      <c r="BTO126" s="222"/>
      <c r="BTP126" s="222"/>
      <c r="BTQ126" s="223"/>
      <c r="BTR126" s="223"/>
      <c r="BTS126" s="224"/>
      <c r="BTT126" s="223"/>
      <c r="BTU126" s="223"/>
      <c r="BTV126" s="223"/>
      <c r="BTW126" s="223"/>
      <c r="BTX126" s="225"/>
      <c r="BTY126" s="220"/>
      <c r="BTZ126" s="221"/>
      <c r="BUA126" s="222"/>
      <c r="BUB126" s="222"/>
      <c r="BUC126" s="223"/>
      <c r="BUD126" s="223"/>
      <c r="BUE126" s="224"/>
      <c r="BUF126" s="223"/>
      <c r="BUG126" s="223"/>
      <c r="BUH126" s="223"/>
      <c r="BUI126" s="223"/>
      <c r="BUJ126" s="225"/>
      <c r="BUK126" s="220"/>
      <c r="BUL126" s="221"/>
      <c r="BUM126" s="222"/>
      <c r="BUN126" s="222"/>
      <c r="BUO126" s="223"/>
      <c r="BUP126" s="223"/>
      <c r="BUQ126" s="224"/>
      <c r="BUR126" s="223"/>
      <c r="BUS126" s="223"/>
      <c r="BUT126" s="223"/>
      <c r="BUU126" s="223"/>
      <c r="BUV126" s="225"/>
      <c r="BUW126" s="220"/>
      <c r="BUX126" s="221"/>
      <c r="BUY126" s="222"/>
      <c r="BUZ126" s="222"/>
      <c r="BVA126" s="223"/>
      <c r="BVB126" s="223"/>
      <c r="BVC126" s="224"/>
      <c r="BVD126" s="223"/>
      <c r="BVE126" s="223"/>
      <c r="BVF126" s="223"/>
      <c r="BVG126" s="223"/>
      <c r="BVH126" s="225"/>
      <c r="BVI126" s="220"/>
      <c r="BVJ126" s="221"/>
      <c r="BVK126" s="222"/>
      <c r="BVL126" s="222"/>
      <c r="BVM126" s="223"/>
      <c r="BVN126" s="223"/>
      <c r="BVO126" s="224"/>
      <c r="BVP126" s="223"/>
      <c r="BVQ126" s="223"/>
      <c r="BVR126" s="223"/>
      <c r="BVS126" s="223"/>
      <c r="BVT126" s="225"/>
      <c r="BVU126" s="220"/>
      <c r="BVV126" s="221"/>
      <c r="BVW126" s="222"/>
      <c r="BVX126" s="222"/>
      <c r="BVY126" s="223"/>
      <c r="BVZ126" s="223"/>
      <c r="BWA126" s="224"/>
      <c r="BWB126" s="223"/>
      <c r="BWC126" s="223"/>
      <c r="BWD126" s="223"/>
      <c r="BWE126" s="223"/>
      <c r="BWF126" s="225"/>
      <c r="BWG126" s="220"/>
      <c r="BWH126" s="221"/>
      <c r="BWI126" s="222"/>
      <c r="BWJ126" s="222"/>
      <c r="BWK126" s="223"/>
      <c r="BWL126" s="223"/>
      <c r="BWM126" s="224"/>
      <c r="BWN126" s="223"/>
      <c r="BWO126" s="223"/>
      <c r="BWP126" s="223"/>
      <c r="BWQ126" s="223"/>
      <c r="BWR126" s="225"/>
      <c r="BWS126" s="220"/>
      <c r="BWT126" s="221"/>
      <c r="BWU126" s="222"/>
      <c r="BWV126" s="222"/>
      <c r="BWW126" s="223"/>
      <c r="BWX126" s="223"/>
      <c r="BWY126" s="224"/>
      <c r="BWZ126" s="223"/>
      <c r="BXA126" s="223"/>
      <c r="BXB126" s="223"/>
      <c r="BXC126" s="223"/>
      <c r="BXD126" s="225"/>
      <c r="BXE126" s="220"/>
      <c r="BXF126" s="221"/>
      <c r="BXG126" s="222"/>
      <c r="BXH126" s="222"/>
      <c r="BXI126" s="223"/>
      <c r="BXJ126" s="223"/>
      <c r="BXK126" s="224"/>
      <c r="BXL126" s="223"/>
      <c r="BXM126" s="223"/>
      <c r="BXN126" s="223"/>
      <c r="BXO126" s="223"/>
      <c r="BXP126" s="225"/>
      <c r="BXQ126" s="220"/>
      <c r="BXR126" s="221"/>
      <c r="BXS126" s="222"/>
      <c r="BXT126" s="222"/>
      <c r="BXU126" s="223"/>
      <c r="BXV126" s="223"/>
      <c r="BXW126" s="224"/>
      <c r="BXX126" s="223"/>
      <c r="BXY126" s="223"/>
      <c r="BXZ126" s="223"/>
      <c r="BYA126" s="223"/>
      <c r="BYB126" s="225"/>
      <c r="BYC126" s="220"/>
      <c r="BYD126" s="221"/>
      <c r="BYE126" s="222"/>
      <c r="BYF126" s="222"/>
      <c r="BYG126" s="223"/>
      <c r="BYH126" s="223"/>
      <c r="BYI126" s="224"/>
      <c r="BYJ126" s="223"/>
      <c r="BYK126" s="223"/>
      <c r="BYL126" s="223"/>
      <c r="BYM126" s="223"/>
      <c r="BYN126" s="225"/>
      <c r="BYO126" s="220"/>
      <c r="BYP126" s="221"/>
      <c r="BYQ126" s="222"/>
      <c r="BYR126" s="222"/>
      <c r="BYS126" s="223"/>
      <c r="BYT126" s="223"/>
      <c r="BYU126" s="224"/>
      <c r="BYV126" s="223"/>
      <c r="BYW126" s="223"/>
      <c r="BYX126" s="223"/>
      <c r="BYY126" s="223"/>
      <c r="BYZ126" s="225"/>
      <c r="BZA126" s="220"/>
      <c r="BZB126" s="221"/>
      <c r="BZC126" s="222"/>
      <c r="BZD126" s="222"/>
      <c r="BZE126" s="223"/>
      <c r="BZF126" s="223"/>
      <c r="BZG126" s="224"/>
      <c r="BZH126" s="223"/>
      <c r="BZI126" s="223"/>
      <c r="BZJ126" s="223"/>
      <c r="BZK126" s="223"/>
      <c r="BZL126" s="225"/>
      <c r="BZM126" s="220"/>
      <c r="BZN126" s="221"/>
      <c r="BZO126" s="222"/>
      <c r="BZP126" s="222"/>
      <c r="BZQ126" s="223"/>
      <c r="BZR126" s="223"/>
      <c r="BZS126" s="224"/>
      <c r="BZT126" s="223"/>
      <c r="BZU126" s="223"/>
      <c r="BZV126" s="223"/>
      <c r="BZW126" s="223"/>
      <c r="BZX126" s="225"/>
      <c r="BZY126" s="220"/>
      <c r="BZZ126" s="221"/>
      <c r="CAA126" s="222"/>
      <c r="CAB126" s="222"/>
      <c r="CAC126" s="223"/>
      <c r="CAD126" s="223"/>
      <c r="CAE126" s="224"/>
      <c r="CAF126" s="223"/>
      <c r="CAG126" s="223"/>
      <c r="CAH126" s="223"/>
      <c r="CAI126" s="223"/>
      <c r="CAJ126" s="225"/>
      <c r="CAK126" s="220"/>
      <c r="CAL126" s="221"/>
      <c r="CAM126" s="222"/>
      <c r="CAN126" s="222"/>
      <c r="CAO126" s="223"/>
      <c r="CAP126" s="223"/>
      <c r="CAQ126" s="224"/>
      <c r="CAR126" s="223"/>
      <c r="CAS126" s="223"/>
      <c r="CAT126" s="223"/>
      <c r="CAU126" s="223"/>
      <c r="CAV126" s="225"/>
      <c r="CAW126" s="220"/>
      <c r="CAX126" s="221"/>
      <c r="CAY126" s="222"/>
      <c r="CAZ126" s="222"/>
      <c r="CBA126" s="223"/>
      <c r="CBB126" s="223"/>
      <c r="CBC126" s="224"/>
      <c r="CBD126" s="223"/>
      <c r="CBE126" s="223"/>
      <c r="CBF126" s="223"/>
      <c r="CBG126" s="223"/>
      <c r="CBH126" s="225"/>
      <c r="CBI126" s="220"/>
      <c r="CBJ126" s="221"/>
      <c r="CBK126" s="222"/>
      <c r="CBL126" s="222"/>
      <c r="CBM126" s="223"/>
      <c r="CBN126" s="223"/>
      <c r="CBO126" s="224"/>
      <c r="CBP126" s="223"/>
      <c r="CBQ126" s="223"/>
      <c r="CBR126" s="223"/>
      <c r="CBS126" s="223"/>
      <c r="CBT126" s="225"/>
      <c r="CBU126" s="220"/>
      <c r="CBV126" s="221"/>
      <c r="CBW126" s="222"/>
      <c r="CBX126" s="222"/>
      <c r="CBY126" s="223"/>
      <c r="CBZ126" s="223"/>
      <c r="CCA126" s="224"/>
      <c r="CCB126" s="223"/>
      <c r="CCC126" s="223"/>
      <c r="CCD126" s="223"/>
      <c r="CCE126" s="223"/>
      <c r="CCF126" s="225"/>
      <c r="CCG126" s="220"/>
      <c r="CCH126" s="221"/>
      <c r="CCI126" s="222"/>
      <c r="CCJ126" s="222"/>
      <c r="CCK126" s="223"/>
      <c r="CCL126" s="223"/>
      <c r="CCM126" s="224"/>
      <c r="CCN126" s="223"/>
      <c r="CCO126" s="223"/>
      <c r="CCP126" s="223"/>
      <c r="CCQ126" s="223"/>
      <c r="CCR126" s="225"/>
      <c r="CCS126" s="220"/>
      <c r="CCT126" s="221"/>
      <c r="CCU126" s="222"/>
      <c r="CCV126" s="222"/>
      <c r="CCW126" s="223"/>
      <c r="CCX126" s="223"/>
      <c r="CCY126" s="224"/>
      <c r="CCZ126" s="223"/>
      <c r="CDA126" s="223"/>
      <c r="CDB126" s="223"/>
      <c r="CDC126" s="223"/>
      <c r="CDD126" s="225"/>
      <c r="CDE126" s="220"/>
      <c r="CDF126" s="221"/>
      <c r="CDG126" s="222"/>
      <c r="CDH126" s="222"/>
      <c r="CDI126" s="223"/>
      <c r="CDJ126" s="223"/>
      <c r="CDK126" s="224"/>
      <c r="CDL126" s="223"/>
      <c r="CDM126" s="223"/>
      <c r="CDN126" s="223"/>
      <c r="CDO126" s="223"/>
      <c r="CDP126" s="225"/>
      <c r="CDQ126" s="220"/>
      <c r="CDR126" s="221"/>
      <c r="CDS126" s="222"/>
      <c r="CDT126" s="222"/>
      <c r="CDU126" s="223"/>
      <c r="CDV126" s="223"/>
      <c r="CDW126" s="224"/>
      <c r="CDX126" s="223"/>
      <c r="CDY126" s="223"/>
      <c r="CDZ126" s="223"/>
      <c r="CEA126" s="223"/>
      <c r="CEB126" s="225"/>
      <c r="CEC126" s="220"/>
      <c r="CED126" s="221"/>
      <c r="CEE126" s="222"/>
      <c r="CEF126" s="222"/>
      <c r="CEG126" s="223"/>
      <c r="CEH126" s="223"/>
      <c r="CEI126" s="224"/>
      <c r="CEJ126" s="223"/>
      <c r="CEK126" s="223"/>
      <c r="CEL126" s="223"/>
      <c r="CEM126" s="223"/>
      <c r="CEN126" s="225"/>
      <c r="CEO126" s="220"/>
      <c r="CEP126" s="221"/>
      <c r="CEQ126" s="222"/>
      <c r="CER126" s="222"/>
      <c r="CES126" s="223"/>
      <c r="CET126" s="223"/>
      <c r="CEU126" s="224"/>
      <c r="CEV126" s="223"/>
      <c r="CEW126" s="223"/>
      <c r="CEX126" s="223"/>
      <c r="CEY126" s="223"/>
      <c r="CEZ126" s="225"/>
      <c r="CFA126" s="220"/>
      <c r="CFB126" s="221"/>
      <c r="CFC126" s="222"/>
      <c r="CFD126" s="222"/>
      <c r="CFE126" s="223"/>
      <c r="CFF126" s="223"/>
      <c r="CFG126" s="224"/>
      <c r="CFH126" s="223"/>
      <c r="CFI126" s="223"/>
      <c r="CFJ126" s="223"/>
      <c r="CFK126" s="223"/>
      <c r="CFL126" s="225"/>
      <c r="CFM126" s="220"/>
      <c r="CFN126" s="221"/>
      <c r="CFO126" s="222"/>
      <c r="CFP126" s="222"/>
      <c r="CFQ126" s="223"/>
      <c r="CFR126" s="223"/>
      <c r="CFS126" s="224"/>
      <c r="CFT126" s="223"/>
      <c r="CFU126" s="223"/>
      <c r="CFV126" s="223"/>
      <c r="CFW126" s="223"/>
      <c r="CFX126" s="225"/>
      <c r="CFY126" s="220"/>
      <c r="CFZ126" s="221"/>
      <c r="CGA126" s="222"/>
      <c r="CGB126" s="222"/>
      <c r="CGC126" s="223"/>
      <c r="CGD126" s="223"/>
      <c r="CGE126" s="224"/>
      <c r="CGF126" s="223"/>
      <c r="CGG126" s="223"/>
      <c r="CGH126" s="223"/>
      <c r="CGI126" s="223"/>
      <c r="CGJ126" s="225"/>
      <c r="CGK126" s="220"/>
      <c r="CGL126" s="221"/>
      <c r="CGM126" s="222"/>
      <c r="CGN126" s="222"/>
      <c r="CGO126" s="223"/>
      <c r="CGP126" s="223"/>
      <c r="CGQ126" s="224"/>
      <c r="CGR126" s="223"/>
      <c r="CGS126" s="223"/>
      <c r="CGT126" s="223"/>
      <c r="CGU126" s="223"/>
      <c r="CGV126" s="225"/>
      <c r="CGW126" s="220"/>
      <c r="CGX126" s="221"/>
      <c r="CGY126" s="222"/>
      <c r="CGZ126" s="222"/>
      <c r="CHA126" s="223"/>
      <c r="CHB126" s="223"/>
      <c r="CHC126" s="224"/>
      <c r="CHD126" s="223"/>
      <c r="CHE126" s="223"/>
      <c r="CHF126" s="223"/>
      <c r="CHG126" s="223"/>
      <c r="CHH126" s="225"/>
      <c r="CHI126" s="220"/>
      <c r="CHJ126" s="221"/>
      <c r="CHK126" s="222"/>
      <c r="CHL126" s="222"/>
      <c r="CHM126" s="223"/>
      <c r="CHN126" s="223"/>
      <c r="CHO126" s="224"/>
      <c r="CHP126" s="223"/>
      <c r="CHQ126" s="223"/>
      <c r="CHR126" s="223"/>
      <c r="CHS126" s="223"/>
      <c r="CHT126" s="225"/>
      <c r="CHU126" s="220"/>
      <c r="CHV126" s="221"/>
      <c r="CHW126" s="222"/>
      <c r="CHX126" s="222"/>
      <c r="CHY126" s="223"/>
      <c r="CHZ126" s="223"/>
      <c r="CIA126" s="224"/>
      <c r="CIB126" s="223"/>
      <c r="CIC126" s="223"/>
      <c r="CID126" s="223"/>
      <c r="CIE126" s="223"/>
      <c r="CIF126" s="225"/>
      <c r="CIG126" s="220"/>
      <c r="CIH126" s="221"/>
      <c r="CII126" s="222"/>
      <c r="CIJ126" s="222"/>
      <c r="CIK126" s="223"/>
      <c r="CIL126" s="223"/>
      <c r="CIM126" s="224"/>
      <c r="CIN126" s="223"/>
      <c r="CIO126" s="223"/>
      <c r="CIP126" s="223"/>
      <c r="CIQ126" s="223"/>
      <c r="CIR126" s="225"/>
      <c r="CIS126" s="220"/>
      <c r="CIT126" s="221"/>
      <c r="CIU126" s="222"/>
      <c r="CIV126" s="222"/>
      <c r="CIW126" s="223"/>
      <c r="CIX126" s="223"/>
      <c r="CIY126" s="224"/>
      <c r="CIZ126" s="223"/>
      <c r="CJA126" s="223"/>
      <c r="CJB126" s="223"/>
      <c r="CJC126" s="223"/>
      <c r="CJD126" s="225"/>
      <c r="CJE126" s="220"/>
      <c r="CJF126" s="221"/>
      <c r="CJG126" s="222"/>
      <c r="CJH126" s="222"/>
      <c r="CJI126" s="223"/>
      <c r="CJJ126" s="223"/>
      <c r="CJK126" s="224"/>
      <c r="CJL126" s="223"/>
      <c r="CJM126" s="223"/>
      <c r="CJN126" s="223"/>
      <c r="CJO126" s="223"/>
      <c r="CJP126" s="225"/>
      <c r="CJQ126" s="220"/>
      <c r="CJR126" s="221"/>
      <c r="CJS126" s="222"/>
      <c r="CJT126" s="222"/>
      <c r="CJU126" s="223"/>
      <c r="CJV126" s="223"/>
      <c r="CJW126" s="224"/>
      <c r="CJX126" s="223"/>
      <c r="CJY126" s="223"/>
      <c r="CJZ126" s="223"/>
      <c r="CKA126" s="223"/>
      <c r="CKB126" s="225"/>
      <c r="CKC126" s="220"/>
      <c r="CKD126" s="221"/>
      <c r="CKE126" s="222"/>
      <c r="CKF126" s="222"/>
      <c r="CKG126" s="223"/>
      <c r="CKH126" s="223"/>
      <c r="CKI126" s="224"/>
      <c r="CKJ126" s="223"/>
      <c r="CKK126" s="223"/>
      <c r="CKL126" s="223"/>
      <c r="CKM126" s="223"/>
      <c r="CKN126" s="225"/>
      <c r="CKO126" s="220"/>
      <c r="CKP126" s="221"/>
      <c r="CKQ126" s="222"/>
      <c r="CKR126" s="222"/>
      <c r="CKS126" s="223"/>
      <c r="CKT126" s="223"/>
      <c r="CKU126" s="224"/>
      <c r="CKV126" s="223"/>
      <c r="CKW126" s="223"/>
      <c r="CKX126" s="223"/>
      <c r="CKY126" s="223"/>
      <c r="CKZ126" s="225"/>
      <c r="CLA126" s="220"/>
      <c r="CLB126" s="221"/>
      <c r="CLC126" s="222"/>
      <c r="CLD126" s="222"/>
      <c r="CLE126" s="223"/>
      <c r="CLF126" s="223"/>
      <c r="CLG126" s="224"/>
      <c r="CLH126" s="223"/>
      <c r="CLI126" s="223"/>
      <c r="CLJ126" s="223"/>
      <c r="CLK126" s="223"/>
      <c r="CLL126" s="225"/>
      <c r="CLM126" s="220"/>
      <c r="CLN126" s="221"/>
      <c r="CLO126" s="222"/>
      <c r="CLP126" s="222"/>
      <c r="CLQ126" s="223"/>
      <c r="CLR126" s="223"/>
      <c r="CLS126" s="224"/>
      <c r="CLT126" s="223"/>
      <c r="CLU126" s="223"/>
      <c r="CLV126" s="223"/>
      <c r="CLW126" s="223"/>
      <c r="CLX126" s="225"/>
      <c r="CLY126" s="220"/>
      <c r="CLZ126" s="221"/>
      <c r="CMA126" s="222"/>
      <c r="CMB126" s="222"/>
      <c r="CMC126" s="223"/>
      <c r="CMD126" s="223"/>
      <c r="CME126" s="224"/>
      <c r="CMF126" s="223"/>
      <c r="CMG126" s="223"/>
      <c r="CMH126" s="223"/>
      <c r="CMI126" s="223"/>
      <c r="CMJ126" s="225"/>
      <c r="CMK126" s="220"/>
      <c r="CML126" s="221"/>
      <c r="CMM126" s="222"/>
      <c r="CMN126" s="222"/>
      <c r="CMO126" s="223"/>
      <c r="CMP126" s="223"/>
      <c r="CMQ126" s="224"/>
      <c r="CMR126" s="223"/>
      <c r="CMS126" s="223"/>
      <c r="CMT126" s="223"/>
      <c r="CMU126" s="223"/>
      <c r="CMV126" s="225"/>
      <c r="CMW126" s="220"/>
      <c r="CMX126" s="221"/>
      <c r="CMY126" s="222"/>
      <c r="CMZ126" s="222"/>
      <c r="CNA126" s="223"/>
      <c r="CNB126" s="223"/>
      <c r="CNC126" s="224"/>
      <c r="CND126" s="223"/>
      <c r="CNE126" s="223"/>
      <c r="CNF126" s="223"/>
      <c r="CNG126" s="223"/>
      <c r="CNH126" s="225"/>
      <c r="CNI126" s="220"/>
      <c r="CNJ126" s="221"/>
      <c r="CNK126" s="222"/>
      <c r="CNL126" s="222"/>
      <c r="CNM126" s="223"/>
      <c r="CNN126" s="223"/>
      <c r="CNO126" s="224"/>
      <c r="CNP126" s="223"/>
      <c r="CNQ126" s="223"/>
      <c r="CNR126" s="223"/>
      <c r="CNS126" s="223"/>
      <c r="CNT126" s="225"/>
      <c r="CNU126" s="220"/>
      <c r="CNV126" s="221"/>
      <c r="CNW126" s="222"/>
      <c r="CNX126" s="222"/>
      <c r="CNY126" s="223"/>
      <c r="CNZ126" s="223"/>
      <c r="COA126" s="224"/>
      <c r="COB126" s="223"/>
      <c r="COC126" s="223"/>
      <c r="COD126" s="223"/>
      <c r="COE126" s="223"/>
      <c r="COF126" s="225"/>
      <c r="COG126" s="220"/>
      <c r="COH126" s="221"/>
      <c r="COI126" s="222"/>
      <c r="COJ126" s="222"/>
      <c r="COK126" s="223"/>
      <c r="COL126" s="223"/>
      <c r="COM126" s="224"/>
      <c r="CON126" s="223"/>
      <c r="COO126" s="223"/>
      <c r="COP126" s="223"/>
      <c r="COQ126" s="223"/>
      <c r="COR126" s="225"/>
      <c r="COS126" s="220"/>
      <c r="COT126" s="221"/>
      <c r="COU126" s="222"/>
      <c r="COV126" s="222"/>
      <c r="COW126" s="223"/>
      <c r="COX126" s="223"/>
      <c r="COY126" s="224"/>
      <c r="COZ126" s="223"/>
      <c r="CPA126" s="223"/>
      <c r="CPB126" s="223"/>
      <c r="CPC126" s="223"/>
      <c r="CPD126" s="225"/>
      <c r="CPE126" s="220"/>
      <c r="CPF126" s="221"/>
      <c r="CPG126" s="222"/>
      <c r="CPH126" s="222"/>
      <c r="CPI126" s="223"/>
      <c r="CPJ126" s="223"/>
      <c r="CPK126" s="224"/>
      <c r="CPL126" s="223"/>
      <c r="CPM126" s="223"/>
      <c r="CPN126" s="223"/>
      <c r="CPO126" s="223"/>
      <c r="CPP126" s="225"/>
      <c r="CPQ126" s="220"/>
      <c r="CPR126" s="221"/>
      <c r="CPS126" s="222"/>
      <c r="CPT126" s="222"/>
      <c r="CPU126" s="223"/>
      <c r="CPV126" s="223"/>
      <c r="CPW126" s="224"/>
      <c r="CPX126" s="223"/>
      <c r="CPY126" s="223"/>
      <c r="CPZ126" s="223"/>
      <c r="CQA126" s="223"/>
      <c r="CQB126" s="225"/>
      <c r="CQC126" s="220"/>
      <c r="CQD126" s="221"/>
      <c r="CQE126" s="222"/>
      <c r="CQF126" s="222"/>
      <c r="CQG126" s="223"/>
      <c r="CQH126" s="223"/>
      <c r="CQI126" s="224"/>
      <c r="CQJ126" s="223"/>
      <c r="CQK126" s="223"/>
      <c r="CQL126" s="223"/>
      <c r="CQM126" s="223"/>
      <c r="CQN126" s="225"/>
      <c r="CQO126" s="220"/>
      <c r="CQP126" s="221"/>
      <c r="CQQ126" s="222"/>
      <c r="CQR126" s="222"/>
      <c r="CQS126" s="223"/>
      <c r="CQT126" s="223"/>
      <c r="CQU126" s="224"/>
      <c r="CQV126" s="223"/>
      <c r="CQW126" s="223"/>
      <c r="CQX126" s="223"/>
      <c r="CQY126" s="223"/>
      <c r="CQZ126" s="225"/>
      <c r="CRA126" s="220"/>
      <c r="CRB126" s="221"/>
      <c r="CRC126" s="222"/>
      <c r="CRD126" s="222"/>
      <c r="CRE126" s="223"/>
      <c r="CRF126" s="223"/>
      <c r="CRG126" s="224"/>
      <c r="CRH126" s="223"/>
      <c r="CRI126" s="223"/>
      <c r="CRJ126" s="223"/>
      <c r="CRK126" s="223"/>
      <c r="CRL126" s="225"/>
      <c r="CRM126" s="220"/>
      <c r="CRN126" s="221"/>
      <c r="CRO126" s="222"/>
      <c r="CRP126" s="222"/>
      <c r="CRQ126" s="223"/>
      <c r="CRR126" s="223"/>
      <c r="CRS126" s="224"/>
      <c r="CRT126" s="223"/>
      <c r="CRU126" s="223"/>
      <c r="CRV126" s="223"/>
      <c r="CRW126" s="223"/>
      <c r="CRX126" s="225"/>
      <c r="CRY126" s="220"/>
      <c r="CRZ126" s="221"/>
      <c r="CSA126" s="222"/>
      <c r="CSB126" s="222"/>
      <c r="CSC126" s="223"/>
      <c r="CSD126" s="223"/>
      <c r="CSE126" s="224"/>
      <c r="CSF126" s="223"/>
      <c r="CSG126" s="223"/>
      <c r="CSH126" s="223"/>
      <c r="CSI126" s="223"/>
      <c r="CSJ126" s="225"/>
      <c r="CSK126" s="220"/>
      <c r="CSL126" s="221"/>
      <c r="CSM126" s="222"/>
      <c r="CSN126" s="222"/>
      <c r="CSO126" s="223"/>
      <c r="CSP126" s="223"/>
      <c r="CSQ126" s="224"/>
      <c r="CSR126" s="223"/>
      <c r="CSS126" s="223"/>
      <c r="CST126" s="223"/>
      <c r="CSU126" s="223"/>
      <c r="CSV126" s="225"/>
      <c r="CSW126" s="220"/>
      <c r="CSX126" s="221"/>
      <c r="CSY126" s="222"/>
      <c r="CSZ126" s="222"/>
      <c r="CTA126" s="223"/>
      <c r="CTB126" s="223"/>
      <c r="CTC126" s="224"/>
      <c r="CTD126" s="223"/>
      <c r="CTE126" s="223"/>
      <c r="CTF126" s="223"/>
      <c r="CTG126" s="223"/>
      <c r="CTH126" s="225"/>
      <c r="CTI126" s="220"/>
      <c r="CTJ126" s="221"/>
      <c r="CTK126" s="222"/>
      <c r="CTL126" s="222"/>
      <c r="CTM126" s="223"/>
      <c r="CTN126" s="223"/>
      <c r="CTO126" s="224"/>
      <c r="CTP126" s="223"/>
      <c r="CTQ126" s="223"/>
      <c r="CTR126" s="223"/>
      <c r="CTS126" s="223"/>
      <c r="CTT126" s="225"/>
      <c r="CTU126" s="220"/>
      <c r="CTV126" s="221"/>
      <c r="CTW126" s="222"/>
      <c r="CTX126" s="222"/>
      <c r="CTY126" s="223"/>
      <c r="CTZ126" s="223"/>
      <c r="CUA126" s="224"/>
      <c r="CUB126" s="223"/>
      <c r="CUC126" s="223"/>
      <c r="CUD126" s="223"/>
      <c r="CUE126" s="223"/>
      <c r="CUF126" s="225"/>
      <c r="CUG126" s="220"/>
      <c r="CUH126" s="221"/>
      <c r="CUI126" s="222"/>
      <c r="CUJ126" s="222"/>
      <c r="CUK126" s="223"/>
      <c r="CUL126" s="223"/>
      <c r="CUM126" s="224"/>
      <c r="CUN126" s="223"/>
      <c r="CUO126" s="223"/>
      <c r="CUP126" s="223"/>
      <c r="CUQ126" s="223"/>
      <c r="CUR126" s="225"/>
      <c r="CUS126" s="220"/>
      <c r="CUT126" s="221"/>
      <c r="CUU126" s="222"/>
      <c r="CUV126" s="222"/>
      <c r="CUW126" s="223"/>
      <c r="CUX126" s="223"/>
      <c r="CUY126" s="224"/>
      <c r="CUZ126" s="223"/>
      <c r="CVA126" s="223"/>
      <c r="CVB126" s="223"/>
      <c r="CVC126" s="223"/>
      <c r="CVD126" s="225"/>
      <c r="CVE126" s="220"/>
      <c r="CVF126" s="221"/>
      <c r="CVG126" s="222"/>
      <c r="CVH126" s="222"/>
      <c r="CVI126" s="223"/>
      <c r="CVJ126" s="223"/>
      <c r="CVK126" s="224"/>
      <c r="CVL126" s="223"/>
      <c r="CVM126" s="223"/>
      <c r="CVN126" s="223"/>
      <c r="CVO126" s="223"/>
      <c r="CVP126" s="225"/>
      <c r="CVQ126" s="220"/>
      <c r="CVR126" s="221"/>
      <c r="CVS126" s="222"/>
      <c r="CVT126" s="222"/>
      <c r="CVU126" s="223"/>
      <c r="CVV126" s="223"/>
      <c r="CVW126" s="224"/>
      <c r="CVX126" s="223"/>
      <c r="CVY126" s="223"/>
      <c r="CVZ126" s="223"/>
      <c r="CWA126" s="223"/>
      <c r="CWB126" s="225"/>
      <c r="CWC126" s="220"/>
      <c r="CWD126" s="221"/>
      <c r="CWE126" s="222"/>
      <c r="CWF126" s="222"/>
      <c r="CWG126" s="223"/>
      <c r="CWH126" s="223"/>
      <c r="CWI126" s="224"/>
      <c r="CWJ126" s="223"/>
      <c r="CWK126" s="223"/>
      <c r="CWL126" s="223"/>
      <c r="CWM126" s="223"/>
      <c r="CWN126" s="225"/>
      <c r="CWO126" s="220"/>
      <c r="CWP126" s="221"/>
      <c r="CWQ126" s="222"/>
      <c r="CWR126" s="222"/>
      <c r="CWS126" s="223"/>
      <c r="CWT126" s="223"/>
      <c r="CWU126" s="224"/>
      <c r="CWV126" s="223"/>
      <c r="CWW126" s="223"/>
      <c r="CWX126" s="223"/>
      <c r="CWY126" s="223"/>
      <c r="CWZ126" s="225"/>
      <c r="CXA126" s="220"/>
      <c r="CXB126" s="221"/>
      <c r="CXC126" s="222"/>
      <c r="CXD126" s="222"/>
      <c r="CXE126" s="223"/>
      <c r="CXF126" s="223"/>
      <c r="CXG126" s="224"/>
      <c r="CXH126" s="223"/>
      <c r="CXI126" s="223"/>
      <c r="CXJ126" s="223"/>
      <c r="CXK126" s="223"/>
      <c r="CXL126" s="225"/>
      <c r="CXM126" s="220"/>
      <c r="CXN126" s="221"/>
      <c r="CXO126" s="222"/>
      <c r="CXP126" s="222"/>
      <c r="CXQ126" s="223"/>
      <c r="CXR126" s="223"/>
      <c r="CXS126" s="224"/>
      <c r="CXT126" s="223"/>
      <c r="CXU126" s="223"/>
      <c r="CXV126" s="223"/>
      <c r="CXW126" s="223"/>
      <c r="CXX126" s="225"/>
      <c r="CXY126" s="220"/>
      <c r="CXZ126" s="221"/>
      <c r="CYA126" s="222"/>
      <c r="CYB126" s="222"/>
      <c r="CYC126" s="223"/>
      <c r="CYD126" s="223"/>
      <c r="CYE126" s="224"/>
      <c r="CYF126" s="223"/>
      <c r="CYG126" s="223"/>
      <c r="CYH126" s="223"/>
      <c r="CYI126" s="223"/>
      <c r="CYJ126" s="225"/>
      <c r="CYK126" s="220"/>
      <c r="CYL126" s="221"/>
      <c r="CYM126" s="222"/>
      <c r="CYN126" s="222"/>
      <c r="CYO126" s="223"/>
      <c r="CYP126" s="223"/>
      <c r="CYQ126" s="224"/>
      <c r="CYR126" s="223"/>
      <c r="CYS126" s="223"/>
      <c r="CYT126" s="223"/>
      <c r="CYU126" s="223"/>
      <c r="CYV126" s="225"/>
      <c r="CYW126" s="220"/>
      <c r="CYX126" s="221"/>
      <c r="CYY126" s="222"/>
      <c r="CYZ126" s="222"/>
      <c r="CZA126" s="223"/>
      <c r="CZB126" s="223"/>
      <c r="CZC126" s="224"/>
      <c r="CZD126" s="223"/>
      <c r="CZE126" s="223"/>
      <c r="CZF126" s="223"/>
      <c r="CZG126" s="223"/>
      <c r="CZH126" s="225"/>
      <c r="CZI126" s="220"/>
      <c r="CZJ126" s="221"/>
      <c r="CZK126" s="222"/>
      <c r="CZL126" s="222"/>
      <c r="CZM126" s="223"/>
      <c r="CZN126" s="223"/>
      <c r="CZO126" s="224"/>
      <c r="CZP126" s="223"/>
      <c r="CZQ126" s="223"/>
      <c r="CZR126" s="223"/>
      <c r="CZS126" s="223"/>
      <c r="CZT126" s="225"/>
      <c r="CZU126" s="220"/>
      <c r="CZV126" s="221"/>
      <c r="CZW126" s="222"/>
      <c r="CZX126" s="222"/>
      <c r="CZY126" s="223"/>
      <c r="CZZ126" s="223"/>
      <c r="DAA126" s="224"/>
      <c r="DAB126" s="223"/>
      <c r="DAC126" s="223"/>
      <c r="DAD126" s="223"/>
      <c r="DAE126" s="223"/>
      <c r="DAF126" s="225"/>
      <c r="DAG126" s="220"/>
      <c r="DAH126" s="221"/>
      <c r="DAI126" s="222"/>
      <c r="DAJ126" s="222"/>
      <c r="DAK126" s="223"/>
      <c r="DAL126" s="223"/>
      <c r="DAM126" s="224"/>
      <c r="DAN126" s="223"/>
      <c r="DAO126" s="223"/>
      <c r="DAP126" s="223"/>
      <c r="DAQ126" s="223"/>
      <c r="DAR126" s="225"/>
      <c r="DAS126" s="220"/>
      <c r="DAT126" s="221"/>
      <c r="DAU126" s="222"/>
      <c r="DAV126" s="222"/>
      <c r="DAW126" s="223"/>
      <c r="DAX126" s="223"/>
      <c r="DAY126" s="224"/>
      <c r="DAZ126" s="223"/>
      <c r="DBA126" s="223"/>
      <c r="DBB126" s="223"/>
      <c r="DBC126" s="223"/>
      <c r="DBD126" s="225"/>
      <c r="DBE126" s="220"/>
      <c r="DBF126" s="221"/>
      <c r="DBG126" s="222"/>
      <c r="DBH126" s="222"/>
      <c r="DBI126" s="223"/>
      <c r="DBJ126" s="223"/>
      <c r="DBK126" s="224"/>
      <c r="DBL126" s="223"/>
      <c r="DBM126" s="223"/>
      <c r="DBN126" s="223"/>
      <c r="DBO126" s="223"/>
      <c r="DBP126" s="225"/>
      <c r="DBQ126" s="220"/>
      <c r="DBR126" s="221"/>
      <c r="DBS126" s="222"/>
      <c r="DBT126" s="222"/>
      <c r="DBU126" s="223"/>
      <c r="DBV126" s="223"/>
      <c r="DBW126" s="224"/>
      <c r="DBX126" s="223"/>
      <c r="DBY126" s="223"/>
      <c r="DBZ126" s="223"/>
      <c r="DCA126" s="223"/>
      <c r="DCB126" s="225"/>
      <c r="DCC126" s="220"/>
      <c r="DCD126" s="221"/>
      <c r="DCE126" s="222"/>
      <c r="DCF126" s="222"/>
      <c r="DCG126" s="223"/>
      <c r="DCH126" s="223"/>
      <c r="DCI126" s="224"/>
      <c r="DCJ126" s="223"/>
      <c r="DCK126" s="223"/>
      <c r="DCL126" s="223"/>
      <c r="DCM126" s="223"/>
      <c r="DCN126" s="225"/>
      <c r="DCO126" s="220"/>
      <c r="DCP126" s="221"/>
      <c r="DCQ126" s="222"/>
      <c r="DCR126" s="222"/>
      <c r="DCS126" s="223"/>
      <c r="DCT126" s="223"/>
      <c r="DCU126" s="224"/>
      <c r="DCV126" s="223"/>
      <c r="DCW126" s="223"/>
      <c r="DCX126" s="223"/>
      <c r="DCY126" s="223"/>
      <c r="DCZ126" s="225"/>
      <c r="DDA126" s="220"/>
      <c r="DDB126" s="221"/>
      <c r="DDC126" s="222"/>
      <c r="DDD126" s="222"/>
      <c r="DDE126" s="223"/>
      <c r="DDF126" s="223"/>
      <c r="DDG126" s="224"/>
      <c r="DDH126" s="223"/>
      <c r="DDI126" s="223"/>
      <c r="DDJ126" s="223"/>
      <c r="DDK126" s="223"/>
      <c r="DDL126" s="225"/>
      <c r="DDM126" s="220"/>
      <c r="DDN126" s="221"/>
      <c r="DDO126" s="222"/>
      <c r="DDP126" s="222"/>
      <c r="DDQ126" s="223"/>
      <c r="DDR126" s="223"/>
      <c r="DDS126" s="224"/>
      <c r="DDT126" s="223"/>
      <c r="DDU126" s="223"/>
      <c r="DDV126" s="223"/>
      <c r="DDW126" s="223"/>
      <c r="DDX126" s="225"/>
      <c r="DDY126" s="220"/>
      <c r="DDZ126" s="221"/>
      <c r="DEA126" s="222"/>
      <c r="DEB126" s="222"/>
      <c r="DEC126" s="223"/>
      <c r="DED126" s="223"/>
      <c r="DEE126" s="224"/>
      <c r="DEF126" s="223"/>
      <c r="DEG126" s="223"/>
      <c r="DEH126" s="223"/>
      <c r="DEI126" s="223"/>
      <c r="DEJ126" s="225"/>
      <c r="DEK126" s="220"/>
      <c r="DEL126" s="221"/>
      <c r="DEM126" s="222"/>
      <c r="DEN126" s="222"/>
      <c r="DEO126" s="223"/>
      <c r="DEP126" s="223"/>
      <c r="DEQ126" s="224"/>
      <c r="DER126" s="223"/>
      <c r="DES126" s="223"/>
      <c r="DET126" s="223"/>
      <c r="DEU126" s="223"/>
      <c r="DEV126" s="225"/>
      <c r="DEW126" s="220"/>
      <c r="DEX126" s="221"/>
      <c r="DEY126" s="222"/>
      <c r="DEZ126" s="222"/>
      <c r="DFA126" s="223"/>
      <c r="DFB126" s="223"/>
      <c r="DFC126" s="224"/>
      <c r="DFD126" s="223"/>
      <c r="DFE126" s="223"/>
      <c r="DFF126" s="223"/>
      <c r="DFG126" s="223"/>
      <c r="DFH126" s="225"/>
      <c r="DFI126" s="220"/>
      <c r="DFJ126" s="221"/>
      <c r="DFK126" s="222"/>
      <c r="DFL126" s="222"/>
      <c r="DFM126" s="223"/>
      <c r="DFN126" s="223"/>
      <c r="DFO126" s="224"/>
      <c r="DFP126" s="223"/>
      <c r="DFQ126" s="223"/>
      <c r="DFR126" s="223"/>
      <c r="DFS126" s="223"/>
      <c r="DFT126" s="225"/>
      <c r="DFU126" s="220"/>
      <c r="DFV126" s="221"/>
      <c r="DFW126" s="222"/>
      <c r="DFX126" s="222"/>
      <c r="DFY126" s="223"/>
      <c r="DFZ126" s="223"/>
      <c r="DGA126" s="224"/>
      <c r="DGB126" s="223"/>
      <c r="DGC126" s="223"/>
      <c r="DGD126" s="223"/>
      <c r="DGE126" s="223"/>
      <c r="DGF126" s="225"/>
      <c r="DGG126" s="220"/>
      <c r="DGH126" s="221"/>
      <c r="DGI126" s="222"/>
      <c r="DGJ126" s="222"/>
      <c r="DGK126" s="223"/>
      <c r="DGL126" s="223"/>
      <c r="DGM126" s="224"/>
      <c r="DGN126" s="223"/>
      <c r="DGO126" s="223"/>
      <c r="DGP126" s="223"/>
      <c r="DGQ126" s="223"/>
      <c r="DGR126" s="225"/>
      <c r="DGS126" s="220"/>
      <c r="DGT126" s="221"/>
      <c r="DGU126" s="222"/>
      <c r="DGV126" s="222"/>
      <c r="DGW126" s="223"/>
      <c r="DGX126" s="223"/>
      <c r="DGY126" s="224"/>
      <c r="DGZ126" s="223"/>
      <c r="DHA126" s="223"/>
      <c r="DHB126" s="223"/>
      <c r="DHC126" s="223"/>
      <c r="DHD126" s="225"/>
      <c r="DHE126" s="220"/>
      <c r="DHF126" s="221"/>
      <c r="DHG126" s="222"/>
      <c r="DHH126" s="222"/>
      <c r="DHI126" s="223"/>
      <c r="DHJ126" s="223"/>
      <c r="DHK126" s="224"/>
      <c r="DHL126" s="223"/>
      <c r="DHM126" s="223"/>
      <c r="DHN126" s="223"/>
      <c r="DHO126" s="223"/>
      <c r="DHP126" s="225"/>
      <c r="DHQ126" s="220"/>
      <c r="DHR126" s="221"/>
      <c r="DHS126" s="222"/>
      <c r="DHT126" s="222"/>
      <c r="DHU126" s="223"/>
      <c r="DHV126" s="223"/>
      <c r="DHW126" s="224"/>
      <c r="DHX126" s="223"/>
      <c r="DHY126" s="223"/>
      <c r="DHZ126" s="223"/>
      <c r="DIA126" s="223"/>
      <c r="DIB126" s="225"/>
      <c r="DIC126" s="220"/>
      <c r="DID126" s="221"/>
      <c r="DIE126" s="222"/>
      <c r="DIF126" s="222"/>
      <c r="DIG126" s="223"/>
      <c r="DIH126" s="223"/>
      <c r="DII126" s="224"/>
      <c r="DIJ126" s="223"/>
      <c r="DIK126" s="223"/>
      <c r="DIL126" s="223"/>
      <c r="DIM126" s="223"/>
      <c r="DIN126" s="225"/>
      <c r="DIO126" s="220"/>
      <c r="DIP126" s="221"/>
      <c r="DIQ126" s="222"/>
      <c r="DIR126" s="222"/>
      <c r="DIS126" s="223"/>
      <c r="DIT126" s="223"/>
      <c r="DIU126" s="224"/>
      <c r="DIV126" s="223"/>
      <c r="DIW126" s="223"/>
      <c r="DIX126" s="223"/>
      <c r="DIY126" s="223"/>
      <c r="DIZ126" s="225"/>
      <c r="DJA126" s="220"/>
      <c r="DJB126" s="221"/>
      <c r="DJC126" s="222"/>
      <c r="DJD126" s="222"/>
      <c r="DJE126" s="223"/>
      <c r="DJF126" s="223"/>
      <c r="DJG126" s="224"/>
      <c r="DJH126" s="223"/>
      <c r="DJI126" s="223"/>
      <c r="DJJ126" s="223"/>
      <c r="DJK126" s="223"/>
      <c r="DJL126" s="225"/>
      <c r="DJM126" s="220"/>
      <c r="DJN126" s="221"/>
      <c r="DJO126" s="222"/>
      <c r="DJP126" s="222"/>
      <c r="DJQ126" s="223"/>
      <c r="DJR126" s="223"/>
      <c r="DJS126" s="224"/>
      <c r="DJT126" s="223"/>
      <c r="DJU126" s="223"/>
      <c r="DJV126" s="223"/>
      <c r="DJW126" s="223"/>
      <c r="DJX126" s="225"/>
      <c r="DJY126" s="220"/>
      <c r="DJZ126" s="221"/>
      <c r="DKA126" s="222"/>
      <c r="DKB126" s="222"/>
      <c r="DKC126" s="223"/>
      <c r="DKD126" s="223"/>
      <c r="DKE126" s="224"/>
      <c r="DKF126" s="223"/>
      <c r="DKG126" s="223"/>
      <c r="DKH126" s="223"/>
      <c r="DKI126" s="223"/>
      <c r="DKJ126" s="225"/>
      <c r="DKK126" s="220"/>
      <c r="DKL126" s="221"/>
      <c r="DKM126" s="222"/>
      <c r="DKN126" s="222"/>
      <c r="DKO126" s="223"/>
      <c r="DKP126" s="223"/>
      <c r="DKQ126" s="224"/>
      <c r="DKR126" s="223"/>
      <c r="DKS126" s="223"/>
      <c r="DKT126" s="223"/>
      <c r="DKU126" s="223"/>
      <c r="DKV126" s="225"/>
      <c r="DKW126" s="220"/>
      <c r="DKX126" s="221"/>
      <c r="DKY126" s="222"/>
      <c r="DKZ126" s="222"/>
      <c r="DLA126" s="223"/>
      <c r="DLB126" s="223"/>
      <c r="DLC126" s="224"/>
      <c r="DLD126" s="223"/>
      <c r="DLE126" s="223"/>
      <c r="DLF126" s="223"/>
      <c r="DLG126" s="223"/>
      <c r="DLH126" s="225"/>
      <c r="DLI126" s="220"/>
      <c r="DLJ126" s="221"/>
      <c r="DLK126" s="222"/>
      <c r="DLL126" s="222"/>
      <c r="DLM126" s="223"/>
      <c r="DLN126" s="223"/>
      <c r="DLO126" s="224"/>
      <c r="DLP126" s="223"/>
      <c r="DLQ126" s="223"/>
      <c r="DLR126" s="223"/>
      <c r="DLS126" s="223"/>
      <c r="DLT126" s="225"/>
      <c r="DLU126" s="220"/>
      <c r="DLV126" s="221"/>
      <c r="DLW126" s="222"/>
      <c r="DLX126" s="222"/>
      <c r="DLY126" s="223"/>
      <c r="DLZ126" s="223"/>
      <c r="DMA126" s="224"/>
      <c r="DMB126" s="223"/>
      <c r="DMC126" s="223"/>
      <c r="DMD126" s="223"/>
      <c r="DME126" s="223"/>
      <c r="DMF126" s="225"/>
      <c r="DMG126" s="220"/>
      <c r="DMH126" s="221"/>
      <c r="DMI126" s="222"/>
      <c r="DMJ126" s="222"/>
      <c r="DMK126" s="223"/>
      <c r="DML126" s="223"/>
      <c r="DMM126" s="224"/>
      <c r="DMN126" s="223"/>
      <c r="DMO126" s="223"/>
      <c r="DMP126" s="223"/>
      <c r="DMQ126" s="223"/>
      <c r="DMR126" s="225"/>
      <c r="DMS126" s="220"/>
      <c r="DMT126" s="221"/>
      <c r="DMU126" s="222"/>
      <c r="DMV126" s="222"/>
      <c r="DMW126" s="223"/>
      <c r="DMX126" s="223"/>
      <c r="DMY126" s="224"/>
      <c r="DMZ126" s="223"/>
      <c r="DNA126" s="223"/>
      <c r="DNB126" s="223"/>
      <c r="DNC126" s="223"/>
      <c r="DND126" s="225"/>
      <c r="DNE126" s="220"/>
      <c r="DNF126" s="221"/>
      <c r="DNG126" s="222"/>
      <c r="DNH126" s="222"/>
      <c r="DNI126" s="223"/>
      <c r="DNJ126" s="223"/>
      <c r="DNK126" s="224"/>
      <c r="DNL126" s="223"/>
      <c r="DNM126" s="223"/>
      <c r="DNN126" s="223"/>
      <c r="DNO126" s="223"/>
      <c r="DNP126" s="225"/>
      <c r="DNQ126" s="220"/>
      <c r="DNR126" s="221"/>
      <c r="DNS126" s="222"/>
      <c r="DNT126" s="222"/>
      <c r="DNU126" s="223"/>
      <c r="DNV126" s="223"/>
      <c r="DNW126" s="224"/>
      <c r="DNX126" s="223"/>
      <c r="DNY126" s="223"/>
      <c r="DNZ126" s="223"/>
      <c r="DOA126" s="223"/>
      <c r="DOB126" s="225"/>
      <c r="DOC126" s="220"/>
      <c r="DOD126" s="221"/>
      <c r="DOE126" s="222"/>
      <c r="DOF126" s="222"/>
      <c r="DOG126" s="223"/>
      <c r="DOH126" s="223"/>
      <c r="DOI126" s="224"/>
      <c r="DOJ126" s="223"/>
      <c r="DOK126" s="223"/>
      <c r="DOL126" s="223"/>
      <c r="DOM126" s="223"/>
      <c r="DON126" s="225"/>
      <c r="DOO126" s="220"/>
      <c r="DOP126" s="221"/>
      <c r="DOQ126" s="222"/>
      <c r="DOR126" s="222"/>
      <c r="DOS126" s="223"/>
      <c r="DOT126" s="223"/>
      <c r="DOU126" s="224"/>
      <c r="DOV126" s="223"/>
      <c r="DOW126" s="223"/>
      <c r="DOX126" s="223"/>
      <c r="DOY126" s="223"/>
      <c r="DOZ126" s="225"/>
      <c r="DPA126" s="220"/>
      <c r="DPB126" s="221"/>
      <c r="DPC126" s="222"/>
      <c r="DPD126" s="222"/>
      <c r="DPE126" s="223"/>
      <c r="DPF126" s="223"/>
      <c r="DPG126" s="224"/>
      <c r="DPH126" s="223"/>
      <c r="DPI126" s="223"/>
      <c r="DPJ126" s="223"/>
      <c r="DPK126" s="223"/>
      <c r="DPL126" s="225"/>
      <c r="DPM126" s="220"/>
      <c r="DPN126" s="221"/>
      <c r="DPO126" s="222"/>
      <c r="DPP126" s="222"/>
      <c r="DPQ126" s="223"/>
      <c r="DPR126" s="223"/>
      <c r="DPS126" s="224"/>
      <c r="DPT126" s="223"/>
      <c r="DPU126" s="223"/>
      <c r="DPV126" s="223"/>
      <c r="DPW126" s="223"/>
      <c r="DPX126" s="225"/>
      <c r="DPY126" s="220"/>
      <c r="DPZ126" s="221"/>
      <c r="DQA126" s="222"/>
      <c r="DQB126" s="222"/>
      <c r="DQC126" s="223"/>
      <c r="DQD126" s="223"/>
      <c r="DQE126" s="224"/>
      <c r="DQF126" s="223"/>
      <c r="DQG126" s="223"/>
      <c r="DQH126" s="223"/>
      <c r="DQI126" s="223"/>
      <c r="DQJ126" s="225"/>
      <c r="DQK126" s="220"/>
      <c r="DQL126" s="221"/>
      <c r="DQM126" s="222"/>
      <c r="DQN126" s="222"/>
      <c r="DQO126" s="223"/>
      <c r="DQP126" s="223"/>
      <c r="DQQ126" s="224"/>
      <c r="DQR126" s="223"/>
      <c r="DQS126" s="223"/>
      <c r="DQT126" s="223"/>
      <c r="DQU126" s="223"/>
      <c r="DQV126" s="225"/>
      <c r="DQW126" s="220"/>
      <c r="DQX126" s="221"/>
      <c r="DQY126" s="222"/>
      <c r="DQZ126" s="222"/>
      <c r="DRA126" s="223"/>
      <c r="DRB126" s="223"/>
      <c r="DRC126" s="224"/>
      <c r="DRD126" s="223"/>
      <c r="DRE126" s="223"/>
      <c r="DRF126" s="223"/>
      <c r="DRG126" s="223"/>
      <c r="DRH126" s="225"/>
      <c r="DRI126" s="220"/>
      <c r="DRJ126" s="221"/>
      <c r="DRK126" s="222"/>
      <c r="DRL126" s="222"/>
      <c r="DRM126" s="223"/>
      <c r="DRN126" s="223"/>
      <c r="DRO126" s="224"/>
      <c r="DRP126" s="223"/>
      <c r="DRQ126" s="223"/>
      <c r="DRR126" s="223"/>
      <c r="DRS126" s="223"/>
      <c r="DRT126" s="225"/>
      <c r="DRU126" s="220"/>
      <c r="DRV126" s="221"/>
      <c r="DRW126" s="222"/>
      <c r="DRX126" s="222"/>
      <c r="DRY126" s="223"/>
      <c r="DRZ126" s="223"/>
      <c r="DSA126" s="224"/>
      <c r="DSB126" s="223"/>
      <c r="DSC126" s="223"/>
      <c r="DSD126" s="223"/>
      <c r="DSE126" s="223"/>
      <c r="DSF126" s="225"/>
      <c r="DSG126" s="220"/>
      <c r="DSH126" s="221"/>
      <c r="DSI126" s="222"/>
      <c r="DSJ126" s="222"/>
      <c r="DSK126" s="223"/>
      <c r="DSL126" s="223"/>
      <c r="DSM126" s="224"/>
      <c r="DSN126" s="223"/>
      <c r="DSO126" s="223"/>
      <c r="DSP126" s="223"/>
      <c r="DSQ126" s="223"/>
      <c r="DSR126" s="225"/>
      <c r="DSS126" s="220"/>
      <c r="DST126" s="221"/>
      <c r="DSU126" s="222"/>
      <c r="DSV126" s="222"/>
      <c r="DSW126" s="223"/>
      <c r="DSX126" s="223"/>
      <c r="DSY126" s="224"/>
      <c r="DSZ126" s="223"/>
      <c r="DTA126" s="223"/>
      <c r="DTB126" s="223"/>
      <c r="DTC126" s="223"/>
      <c r="DTD126" s="225"/>
      <c r="DTE126" s="220"/>
      <c r="DTF126" s="221"/>
      <c r="DTG126" s="222"/>
      <c r="DTH126" s="222"/>
      <c r="DTI126" s="223"/>
      <c r="DTJ126" s="223"/>
      <c r="DTK126" s="224"/>
      <c r="DTL126" s="223"/>
      <c r="DTM126" s="223"/>
      <c r="DTN126" s="223"/>
      <c r="DTO126" s="223"/>
      <c r="DTP126" s="225"/>
      <c r="DTQ126" s="220"/>
      <c r="DTR126" s="221"/>
      <c r="DTS126" s="222"/>
      <c r="DTT126" s="222"/>
      <c r="DTU126" s="223"/>
      <c r="DTV126" s="223"/>
      <c r="DTW126" s="224"/>
      <c r="DTX126" s="223"/>
      <c r="DTY126" s="223"/>
      <c r="DTZ126" s="223"/>
      <c r="DUA126" s="223"/>
      <c r="DUB126" s="225"/>
      <c r="DUC126" s="220"/>
      <c r="DUD126" s="221"/>
      <c r="DUE126" s="222"/>
      <c r="DUF126" s="222"/>
      <c r="DUG126" s="223"/>
      <c r="DUH126" s="223"/>
      <c r="DUI126" s="224"/>
      <c r="DUJ126" s="223"/>
      <c r="DUK126" s="223"/>
      <c r="DUL126" s="223"/>
      <c r="DUM126" s="223"/>
      <c r="DUN126" s="225"/>
      <c r="DUO126" s="220"/>
      <c r="DUP126" s="221"/>
      <c r="DUQ126" s="222"/>
      <c r="DUR126" s="222"/>
      <c r="DUS126" s="223"/>
      <c r="DUT126" s="223"/>
      <c r="DUU126" s="224"/>
      <c r="DUV126" s="223"/>
      <c r="DUW126" s="223"/>
      <c r="DUX126" s="223"/>
      <c r="DUY126" s="223"/>
      <c r="DUZ126" s="225"/>
      <c r="DVA126" s="220"/>
      <c r="DVB126" s="221"/>
      <c r="DVC126" s="222"/>
      <c r="DVD126" s="222"/>
      <c r="DVE126" s="223"/>
      <c r="DVF126" s="223"/>
      <c r="DVG126" s="224"/>
      <c r="DVH126" s="223"/>
      <c r="DVI126" s="223"/>
      <c r="DVJ126" s="223"/>
      <c r="DVK126" s="223"/>
      <c r="DVL126" s="225"/>
      <c r="DVM126" s="220"/>
      <c r="DVN126" s="221"/>
      <c r="DVO126" s="222"/>
      <c r="DVP126" s="222"/>
      <c r="DVQ126" s="223"/>
      <c r="DVR126" s="223"/>
      <c r="DVS126" s="224"/>
      <c r="DVT126" s="223"/>
      <c r="DVU126" s="223"/>
      <c r="DVV126" s="223"/>
      <c r="DVW126" s="223"/>
      <c r="DVX126" s="225"/>
      <c r="DVY126" s="220"/>
      <c r="DVZ126" s="221"/>
      <c r="DWA126" s="222"/>
      <c r="DWB126" s="222"/>
      <c r="DWC126" s="223"/>
      <c r="DWD126" s="223"/>
      <c r="DWE126" s="224"/>
      <c r="DWF126" s="223"/>
      <c r="DWG126" s="223"/>
      <c r="DWH126" s="223"/>
      <c r="DWI126" s="223"/>
      <c r="DWJ126" s="225"/>
      <c r="DWK126" s="220"/>
      <c r="DWL126" s="221"/>
      <c r="DWM126" s="222"/>
      <c r="DWN126" s="222"/>
      <c r="DWO126" s="223"/>
      <c r="DWP126" s="223"/>
      <c r="DWQ126" s="224"/>
      <c r="DWR126" s="223"/>
      <c r="DWS126" s="223"/>
      <c r="DWT126" s="223"/>
      <c r="DWU126" s="223"/>
      <c r="DWV126" s="225"/>
      <c r="DWW126" s="220"/>
      <c r="DWX126" s="221"/>
      <c r="DWY126" s="222"/>
      <c r="DWZ126" s="222"/>
      <c r="DXA126" s="223"/>
      <c r="DXB126" s="223"/>
      <c r="DXC126" s="224"/>
      <c r="DXD126" s="223"/>
      <c r="DXE126" s="223"/>
      <c r="DXF126" s="223"/>
      <c r="DXG126" s="223"/>
      <c r="DXH126" s="225"/>
      <c r="DXI126" s="220"/>
      <c r="DXJ126" s="221"/>
      <c r="DXK126" s="222"/>
      <c r="DXL126" s="222"/>
      <c r="DXM126" s="223"/>
      <c r="DXN126" s="223"/>
      <c r="DXO126" s="224"/>
      <c r="DXP126" s="223"/>
      <c r="DXQ126" s="223"/>
      <c r="DXR126" s="223"/>
      <c r="DXS126" s="223"/>
      <c r="DXT126" s="225"/>
      <c r="DXU126" s="220"/>
      <c r="DXV126" s="221"/>
      <c r="DXW126" s="222"/>
      <c r="DXX126" s="222"/>
      <c r="DXY126" s="223"/>
      <c r="DXZ126" s="223"/>
      <c r="DYA126" s="224"/>
      <c r="DYB126" s="223"/>
      <c r="DYC126" s="223"/>
      <c r="DYD126" s="223"/>
      <c r="DYE126" s="223"/>
      <c r="DYF126" s="225"/>
      <c r="DYG126" s="220"/>
      <c r="DYH126" s="221"/>
      <c r="DYI126" s="222"/>
      <c r="DYJ126" s="222"/>
      <c r="DYK126" s="223"/>
      <c r="DYL126" s="223"/>
      <c r="DYM126" s="224"/>
      <c r="DYN126" s="223"/>
      <c r="DYO126" s="223"/>
      <c r="DYP126" s="223"/>
      <c r="DYQ126" s="223"/>
      <c r="DYR126" s="225"/>
      <c r="DYS126" s="220"/>
      <c r="DYT126" s="221"/>
      <c r="DYU126" s="222"/>
      <c r="DYV126" s="222"/>
      <c r="DYW126" s="223"/>
      <c r="DYX126" s="223"/>
      <c r="DYY126" s="224"/>
      <c r="DYZ126" s="223"/>
      <c r="DZA126" s="223"/>
      <c r="DZB126" s="223"/>
      <c r="DZC126" s="223"/>
      <c r="DZD126" s="225"/>
      <c r="DZE126" s="220"/>
      <c r="DZF126" s="221"/>
      <c r="DZG126" s="222"/>
      <c r="DZH126" s="222"/>
      <c r="DZI126" s="223"/>
      <c r="DZJ126" s="223"/>
      <c r="DZK126" s="224"/>
      <c r="DZL126" s="223"/>
      <c r="DZM126" s="223"/>
      <c r="DZN126" s="223"/>
      <c r="DZO126" s="223"/>
      <c r="DZP126" s="225"/>
      <c r="DZQ126" s="220"/>
      <c r="DZR126" s="221"/>
      <c r="DZS126" s="222"/>
      <c r="DZT126" s="222"/>
      <c r="DZU126" s="223"/>
      <c r="DZV126" s="223"/>
      <c r="DZW126" s="224"/>
      <c r="DZX126" s="223"/>
      <c r="DZY126" s="223"/>
      <c r="DZZ126" s="223"/>
      <c r="EAA126" s="223"/>
      <c r="EAB126" s="225"/>
      <c r="EAC126" s="220"/>
      <c r="EAD126" s="221"/>
      <c r="EAE126" s="222"/>
      <c r="EAF126" s="222"/>
      <c r="EAG126" s="223"/>
      <c r="EAH126" s="223"/>
      <c r="EAI126" s="224"/>
      <c r="EAJ126" s="223"/>
      <c r="EAK126" s="223"/>
      <c r="EAL126" s="223"/>
      <c r="EAM126" s="223"/>
      <c r="EAN126" s="225"/>
      <c r="EAO126" s="220"/>
      <c r="EAP126" s="221"/>
      <c r="EAQ126" s="222"/>
      <c r="EAR126" s="222"/>
      <c r="EAS126" s="223"/>
      <c r="EAT126" s="223"/>
      <c r="EAU126" s="224"/>
      <c r="EAV126" s="223"/>
      <c r="EAW126" s="223"/>
      <c r="EAX126" s="223"/>
      <c r="EAY126" s="223"/>
      <c r="EAZ126" s="225"/>
      <c r="EBA126" s="220"/>
      <c r="EBB126" s="221"/>
      <c r="EBC126" s="222"/>
      <c r="EBD126" s="222"/>
      <c r="EBE126" s="223"/>
      <c r="EBF126" s="223"/>
      <c r="EBG126" s="224"/>
      <c r="EBH126" s="223"/>
      <c r="EBI126" s="223"/>
      <c r="EBJ126" s="223"/>
      <c r="EBK126" s="223"/>
      <c r="EBL126" s="225"/>
      <c r="EBM126" s="220"/>
      <c r="EBN126" s="221"/>
      <c r="EBO126" s="222"/>
      <c r="EBP126" s="222"/>
      <c r="EBQ126" s="223"/>
      <c r="EBR126" s="223"/>
      <c r="EBS126" s="224"/>
      <c r="EBT126" s="223"/>
      <c r="EBU126" s="223"/>
      <c r="EBV126" s="223"/>
      <c r="EBW126" s="223"/>
      <c r="EBX126" s="225"/>
      <c r="EBY126" s="220"/>
      <c r="EBZ126" s="221"/>
      <c r="ECA126" s="222"/>
      <c r="ECB126" s="222"/>
      <c r="ECC126" s="223"/>
      <c r="ECD126" s="223"/>
      <c r="ECE126" s="224"/>
      <c r="ECF126" s="223"/>
      <c r="ECG126" s="223"/>
      <c r="ECH126" s="223"/>
      <c r="ECI126" s="223"/>
      <c r="ECJ126" s="225"/>
      <c r="ECK126" s="220"/>
      <c r="ECL126" s="221"/>
      <c r="ECM126" s="222"/>
      <c r="ECN126" s="222"/>
      <c r="ECO126" s="223"/>
      <c r="ECP126" s="223"/>
      <c r="ECQ126" s="224"/>
      <c r="ECR126" s="223"/>
      <c r="ECS126" s="223"/>
      <c r="ECT126" s="223"/>
      <c r="ECU126" s="223"/>
      <c r="ECV126" s="225"/>
      <c r="ECW126" s="220"/>
      <c r="ECX126" s="221"/>
      <c r="ECY126" s="222"/>
      <c r="ECZ126" s="222"/>
      <c r="EDA126" s="223"/>
      <c r="EDB126" s="223"/>
      <c r="EDC126" s="224"/>
      <c r="EDD126" s="223"/>
      <c r="EDE126" s="223"/>
      <c r="EDF126" s="223"/>
      <c r="EDG126" s="223"/>
      <c r="EDH126" s="225"/>
      <c r="EDI126" s="220"/>
      <c r="EDJ126" s="221"/>
      <c r="EDK126" s="222"/>
      <c r="EDL126" s="222"/>
      <c r="EDM126" s="223"/>
      <c r="EDN126" s="223"/>
      <c r="EDO126" s="224"/>
      <c r="EDP126" s="223"/>
      <c r="EDQ126" s="223"/>
      <c r="EDR126" s="223"/>
      <c r="EDS126" s="223"/>
      <c r="EDT126" s="225"/>
      <c r="EDU126" s="220"/>
      <c r="EDV126" s="221"/>
      <c r="EDW126" s="222"/>
      <c r="EDX126" s="222"/>
      <c r="EDY126" s="223"/>
      <c r="EDZ126" s="223"/>
      <c r="EEA126" s="224"/>
      <c r="EEB126" s="223"/>
      <c r="EEC126" s="223"/>
      <c r="EED126" s="223"/>
      <c r="EEE126" s="223"/>
      <c r="EEF126" s="225"/>
      <c r="EEG126" s="220"/>
      <c r="EEH126" s="221"/>
      <c r="EEI126" s="222"/>
      <c r="EEJ126" s="222"/>
      <c r="EEK126" s="223"/>
      <c r="EEL126" s="223"/>
      <c r="EEM126" s="224"/>
      <c r="EEN126" s="223"/>
      <c r="EEO126" s="223"/>
      <c r="EEP126" s="223"/>
      <c r="EEQ126" s="223"/>
      <c r="EER126" s="225"/>
      <c r="EES126" s="220"/>
      <c r="EET126" s="221"/>
      <c r="EEU126" s="222"/>
      <c r="EEV126" s="222"/>
      <c r="EEW126" s="223"/>
      <c r="EEX126" s="223"/>
      <c r="EEY126" s="224"/>
      <c r="EEZ126" s="223"/>
      <c r="EFA126" s="223"/>
      <c r="EFB126" s="223"/>
      <c r="EFC126" s="223"/>
      <c r="EFD126" s="225"/>
      <c r="EFE126" s="220"/>
      <c r="EFF126" s="221"/>
      <c r="EFG126" s="222"/>
      <c r="EFH126" s="222"/>
      <c r="EFI126" s="223"/>
      <c r="EFJ126" s="223"/>
      <c r="EFK126" s="224"/>
      <c r="EFL126" s="223"/>
      <c r="EFM126" s="223"/>
      <c r="EFN126" s="223"/>
      <c r="EFO126" s="223"/>
      <c r="EFP126" s="225"/>
      <c r="EFQ126" s="220"/>
      <c r="EFR126" s="221"/>
      <c r="EFS126" s="222"/>
      <c r="EFT126" s="222"/>
      <c r="EFU126" s="223"/>
      <c r="EFV126" s="223"/>
      <c r="EFW126" s="224"/>
      <c r="EFX126" s="223"/>
      <c r="EFY126" s="223"/>
      <c r="EFZ126" s="223"/>
      <c r="EGA126" s="223"/>
      <c r="EGB126" s="225"/>
      <c r="EGC126" s="220"/>
      <c r="EGD126" s="221"/>
      <c r="EGE126" s="222"/>
      <c r="EGF126" s="222"/>
      <c r="EGG126" s="223"/>
      <c r="EGH126" s="223"/>
      <c r="EGI126" s="224"/>
      <c r="EGJ126" s="223"/>
      <c r="EGK126" s="223"/>
      <c r="EGL126" s="223"/>
      <c r="EGM126" s="223"/>
      <c r="EGN126" s="225"/>
      <c r="EGO126" s="220"/>
      <c r="EGP126" s="221"/>
      <c r="EGQ126" s="222"/>
      <c r="EGR126" s="222"/>
      <c r="EGS126" s="223"/>
      <c r="EGT126" s="223"/>
      <c r="EGU126" s="224"/>
      <c r="EGV126" s="223"/>
      <c r="EGW126" s="223"/>
      <c r="EGX126" s="223"/>
      <c r="EGY126" s="223"/>
      <c r="EGZ126" s="225"/>
      <c r="EHA126" s="220"/>
      <c r="EHB126" s="221"/>
      <c r="EHC126" s="222"/>
      <c r="EHD126" s="222"/>
      <c r="EHE126" s="223"/>
      <c r="EHF126" s="223"/>
      <c r="EHG126" s="224"/>
      <c r="EHH126" s="223"/>
      <c r="EHI126" s="223"/>
      <c r="EHJ126" s="223"/>
      <c r="EHK126" s="223"/>
      <c r="EHL126" s="225"/>
      <c r="EHM126" s="220"/>
      <c r="EHN126" s="221"/>
      <c r="EHO126" s="222"/>
      <c r="EHP126" s="222"/>
      <c r="EHQ126" s="223"/>
      <c r="EHR126" s="223"/>
      <c r="EHS126" s="224"/>
      <c r="EHT126" s="223"/>
      <c r="EHU126" s="223"/>
      <c r="EHV126" s="223"/>
      <c r="EHW126" s="223"/>
      <c r="EHX126" s="225"/>
      <c r="EHY126" s="220"/>
      <c r="EHZ126" s="221"/>
      <c r="EIA126" s="222"/>
      <c r="EIB126" s="222"/>
      <c r="EIC126" s="223"/>
      <c r="EID126" s="223"/>
      <c r="EIE126" s="224"/>
      <c r="EIF126" s="223"/>
      <c r="EIG126" s="223"/>
      <c r="EIH126" s="223"/>
      <c r="EII126" s="223"/>
      <c r="EIJ126" s="225"/>
      <c r="EIK126" s="220"/>
      <c r="EIL126" s="221"/>
      <c r="EIM126" s="222"/>
      <c r="EIN126" s="222"/>
      <c r="EIO126" s="223"/>
      <c r="EIP126" s="223"/>
      <c r="EIQ126" s="224"/>
      <c r="EIR126" s="223"/>
      <c r="EIS126" s="223"/>
      <c r="EIT126" s="223"/>
      <c r="EIU126" s="223"/>
      <c r="EIV126" s="225"/>
      <c r="EIW126" s="220"/>
      <c r="EIX126" s="221"/>
      <c r="EIY126" s="222"/>
      <c r="EIZ126" s="222"/>
      <c r="EJA126" s="223"/>
      <c r="EJB126" s="223"/>
      <c r="EJC126" s="224"/>
      <c r="EJD126" s="223"/>
      <c r="EJE126" s="223"/>
      <c r="EJF126" s="223"/>
      <c r="EJG126" s="223"/>
      <c r="EJH126" s="225"/>
      <c r="EJI126" s="220"/>
      <c r="EJJ126" s="221"/>
      <c r="EJK126" s="222"/>
      <c r="EJL126" s="222"/>
      <c r="EJM126" s="223"/>
      <c r="EJN126" s="223"/>
      <c r="EJO126" s="224"/>
      <c r="EJP126" s="223"/>
      <c r="EJQ126" s="223"/>
      <c r="EJR126" s="223"/>
      <c r="EJS126" s="223"/>
      <c r="EJT126" s="225"/>
      <c r="EJU126" s="220"/>
      <c r="EJV126" s="221"/>
      <c r="EJW126" s="222"/>
      <c r="EJX126" s="222"/>
      <c r="EJY126" s="223"/>
      <c r="EJZ126" s="223"/>
      <c r="EKA126" s="224"/>
      <c r="EKB126" s="223"/>
      <c r="EKC126" s="223"/>
      <c r="EKD126" s="223"/>
      <c r="EKE126" s="223"/>
      <c r="EKF126" s="225"/>
      <c r="EKG126" s="220"/>
      <c r="EKH126" s="221"/>
      <c r="EKI126" s="222"/>
      <c r="EKJ126" s="222"/>
      <c r="EKK126" s="223"/>
      <c r="EKL126" s="223"/>
      <c r="EKM126" s="224"/>
      <c r="EKN126" s="223"/>
      <c r="EKO126" s="223"/>
      <c r="EKP126" s="223"/>
      <c r="EKQ126" s="223"/>
      <c r="EKR126" s="225"/>
      <c r="EKS126" s="220"/>
      <c r="EKT126" s="221"/>
      <c r="EKU126" s="222"/>
      <c r="EKV126" s="222"/>
      <c r="EKW126" s="223"/>
      <c r="EKX126" s="223"/>
      <c r="EKY126" s="224"/>
      <c r="EKZ126" s="223"/>
      <c r="ELA126" s="223"/>
      <c r="ELB126" s="223"/>
      <c r="ELC126" s="223"/>
      <c r="ELD126" s="225"/>
      <c r="ELE126" s="220"/>
      <c r="ELF126" s="221"/>
      <c r="ELG126" s="222"/>
      <c r="ELH126" s="222"/>
      <c r="ELI126" s="223"/>
      <c r="ELJ126" s="223"/>
      <c r="ELK126" s="224"/>
      <c r="ELL126" s="223"/>
      <c r="ELM126" s="223"/>
      <c r="ELN126" s="223"/>
      <c r="ELO126" s="223"/>
      <c r="ELP126" s="225"/>
      <c r="ELQ126" s="220"/>
      <c r="ELR126" s="221"/>
      <c r="ELS126" s="222"/>
      <c r="ELT126" s="222"/>
      <c r="ELU126" s="223"/>
      <c r="ELV126" s="223"/>
      <c r="ELW126" s="224"/>
      <c r="ELX126" s="223"/>
      <c r="ELY126" s="223"/>
      <c r="ELZ126" s="223"/>
      <c r="EMA126" s="223"/>
      <c r="EMB126" s="225"/>
      <c r="EMC126" s="220"/>
      <c r="EMD126" s="221"/>
      <c r="EME126" s="222"/>
      <c r="EMF126" s="222"/>
      <c r="EMG126" s="223"/>
      <c r="EMH126" s="223"/>
      <c r="EMI126" s="224"/>
      <c r="EMJ126" s="223"/>
      <c r="EMK126" s="223"/>
      <c r="EML126" s="223"/>
      <c r="EMM126" s="223"/>
      <c r="EMN126" s="225"/>
      <c r="EMO126" s="220"/>
      <c r="EMP126" s="221"/>
      <c r="EMQ126" s="222"/>
      <c r="EMR126" s="222"/>
      <c r="EMS126" s="223"/>
      <c r="EMT126" s="223"/>
      <c r="EMU126" s="224"/>
      <c r="EMV126" s="223"/>
      <c r="EMW126" s="223"/>
      <c r="EMX126" s="223"/>
      <c r="EMY126" s="223"/>
      <c r="EMZ126" s="225"/>
      <c r="ENA126" s="220"/>
      <c r="ENB126" s="221"/>
      <c r="ENC126" s="222"/>
      <c r="END126" s="222"/>
      <c r="ENE126" s="223"/>
      <c r="ENF126" s="223"/>
      <c r="ENG126" s="224"/>
      <c r="ENH126" s="223"/>
      <c r="ENI126" s="223"/>
      <c r="ENJ126" s="223"/>
      <c r="ENK126" s="223"/>
      <c r="ENL126" s="225"/>
      <c r="ENM126" s="220"/>
      <c r="ENN126" s="221"/>
      <c r="ENO126" s="222"/>
      <c r="ENP126" s="222"/>
      <c r="ENQ126" s="223"/>
      <c r="ENR126" s="223"/>
      <c r="ENS126" s="224"/>
      <c r="ENT126" s="223"/>
      <c r="ENU126" s="223"/>
      <c r="ENV126" s="223"/>
      <c r="ENW126" s="223"/>
      <c r="ENX126" s="225"/>
      <c r="ENY126" s="220"/>
      <c r="ENZ126" s="221"/>
      <c r="EOA126" s="222"/>
      <c r="EOB126" s="222"/>
      <c r="EOC126" s="223"/>
      <c r="EOD126" s="223"/>
      <c r="EOE126" s="224"/>
      <c r="EOF126" s="223"/>
      <c r="EOG126" s="223"/>
      <c r="EOH126" s="223"/>
      <c r="EOI126" s="223"/>
      <c r="EOJ126" s="225"/>
      <c r="EOK126" s="220"/>
      <c r="EOL126" s="221"/>
      <c r="EOM126" s="222"/>
      <c r="EON126" s="222"/>
      <c r="EOO126" s="223"/>
      <c r="EOP126" s="223"/>
      <c r="EOQ126" s="224"/>
      <c r="EOR126" s="223"/>
      <c r="EOS126" s="223"/>
      <c r="EOT126" s="223"/>
      <c r="EOU126" s="223"/>
      <c r="EOV126" s="225"/>
      <c r="EOW126" s="220"/>
      <c r="EOX126" s="221"/>
      <c r="EOY126" s="222"/>
      <c r="EOZ126" s="222"/>
      <c r="EPA126" s="223"/>
      <c r="EPB126" s="223"/>
      <c r="EPC126" s="224"/>
      <c r="EPD126" s="223"/>
      <c r="EPE126" s="223"/>
      <c r="EPF126" s="223"/>
      <c r="EPG126" s="223"/>
      <c r="EPH126" s="225"/>
      <c r="EPI126" s="220"/>
      <c r="EPJ126" s="221"/>
      <c r="EPK126" s="222"/>
      <c r="EPL126" s="222"/>
      <c r="EPM126" s="223"/>
      <c r="EPN126" s="223"/>
      <c r="EPO126" s="224"/>
      <c r="EPP126" s="223"/>
      <c r="EPQ126" s="223"/>
      <c r="EPR126" s="223"/>
      <c r="EPS126" s="223"/>
      <c r="EPT126" s="225"/>
      <c r="EPU126" s="220"/>
      <c r="EPV126" s="221"/>
      <c r="EPW126" s="222"/>
      <c r="EPX126" s="222"/>
      <c r="EPY126" s="223"/>
      <c r="EPZ126" s="223"/>
      <c r="EQA126" s="224"/>
      <c r="EQB126" s="223"/>
      <c r="EQC126" s="223"/>
      <c r="EQD126" s="223"/>
      <c r="EQE126" s="223"/>
      <c r="EQF126" s="225"/>
      <c r="EQG126" s="220"/>
      <c r="EQH126" s="221"/>
      <c r="EQI126" s="222"/>
      <c r="EQJ126" s="222"/>
      <c r="EQK126" s="223"/>
      <c r="EQL126" s="223"/>
      <c r="EQM126" s="224"/>
      <c r="EQN126" s="223"/>
      <c r="EQO126" s="223"/>
      <c r="EQP126" s="223"/>
      <c r="EQQ126" s="223"/>
      <c r="EQR126" s="225"/>
      <c r="EQS126" s="220"/>
      <c r="EQT126" s="221"/>
      <c r="EQU126" s="222"/>
      <c r="EQV126" s="222"/>
      <c r="EQW126" s="223"/>
      <c r="EQX126" s="223"/>
      <c r="EQY126" s="224"/>
      <c r="EQZ126" s="223"/>
      <c r="ERA126" s="223"/>
      <c r="ERB126" s="223"/>
      <c r="ERC126" s="223"/>
      <c r="ERD126" s="225"/>
      <c r="ERE126" s="220"/>
      <c r="ERF126" s="221"/>
      <c r="ERG126" s="222"/>
      <c r="ERH126" s="222"/>
      <c r="ERI126" s="223"/>
      <c r="ERJ126" s="223"/>
      <c r="ERK126" s="224"/>
      <c r="ERL126" s="223"/>
      <c r="ERM126" s="223"/>
      <c r="ERN126" s="223"/>
      <c r="ERO126" s="223"/>
      <c r="ERP126" s="225"/>
      <c r="ERQ126" s="220"/>
      <c r="ERR126" s="221"/>
      <c r="ERS126" s="222"/>
      <c r="ERT126" s="222"/>
      <c r="ERU126" s="223"/>
      <c r="ERV126" s="223"/>
      <c r="ERW126" s="224"/>
      <c r="ERX126" s="223"/>
      <c r="ERY126" s="223"/>
      <c r="ERZ126" s="223"/>
      <c r="ESA126" s="223"/>
      <c r="ESB126" s="225"/>
      <c r="ESC126" s="220"/>
      <c r="ESD126" s="221"/>
      <c r="ESE126" s="222"/>
      <c r="ESF126" s="222"/>
      <c r="ESG126" s="223"/>
      <c r="ESH126" s="223"/>
      <c r="ESI126" s="224"/>
      <c r="ESJ126" s="223"/>
      <c r="ESK126" s="223"/>
      <c r="ESL126" s="223"/>
      <c r="ESM126" s="223"/>
      <c r="ESN126" s="225"/>
      <c r="ESO126" s="220"/>
      <c r="ESP126" s="221"/>
      <c r="ESQ126" s="222"/>
      <c r="ESR126" s="222"/>
      <c r="ESS126" s="223"/>
      <c r="EST126" s="223"/>
      <c r="ESU126" s="224"/>
      <c r="ESV126" s="223"/>
      <c r="ESW126" s="223"/>
      <c r="ESX126" s="223"/>
      <c r="ESY126" s="223"/>
      <c r="ESZ126" s="225"/>
      <c r="ETA126" s="220"/>
      <c r="ETB126" s="221"/>
      <c r="ETC126" s="222"/>
      <c r="ETD126" s="222"/>
      <c r="ETE126" s="223"/>
      <c r="ETF126" s="223"/>
      <c r="ETG126" s="224"/>
      <c r="ETH126" s="223"/>
      <c r="ETI126" s="223"/>
      <c r="ETJ126" s="223"/>
      <c r="ETK126" s="223"/>
      <c r="ETL126" s="225"/>
      <c r="ETM126" s="220"/>
      <c r="ETN126" s="221"/>
      <c r="ETO126" s="222"/>
      <c r="ETP126" s="222"/>
      <c r="ETQ126" s="223"/>
      <c r="ETR126" s="223"/>
      <c r="ETS126" s="224"/>
      <c r="ETT126" s="223"/>
      <c r="ETU126" s="223"/>
      <c r="ETV126" s="223"/>
      <c r="ETW126" s="223"/>
      <c r="ETX126" s="225"/>
      <c r="ETY126" s="220"/>
      <c r="ETZ126" s="221"/>
      <c r="EUA126" s="222"/>
      <c r="EUB126" s="222"/>
      <c r="EUC126" s="223"/>
      <c r="EUD126" s="223"/>
      <c r="EUE126" s="224"/>
      <c r="EUF126" s="223"/>
      <c r="EUG126" s="223"/>
      <c r="EUH126" s="223"/>
      <c r="EUI126" s="223"/>
      <c r="EUJ126" s="225"/>
      <c r="EUK126" s="220"/>
      <c r="EUL126" s="221"/>
      <c r="EUM126" s="222"/>
      <c r="EUN126" s="222"/>
      <c r="EUO126" s="223"/>
      <c r="EUP126" s="223"/>
      <c r="EUQ126" s="224"/>
      <c r="EUR126" s="223"/>
      <c r="EUS126" s="223"/>
      <c r="EUT126" s="223"/>
      <c r="EUU126" s="223"/>
      <c r="EUV126" s="225"/>
      <c r="EUW126" s="220"/>
      <c r="EUX126" s="221"/>
      <c r="EUY126" s="222"/>
      <c r="EUZ126" s="222"/>
      <c r="EVA126" s="223"/>
      <c r="EVB126" s="223"/>
      <c r="EVC126" s="224"/>
      <c r="EVD126" s="223"/>
      <c r="EVE126" s="223"/>
      <c r="EVF126" s="223"/>
      <c r="EVG126" s="223"/>
      <c r="EVH126" s="225"/>
      <c r="EVI126" s="220"/>
      <c r="EVJ126" s="221"/>
      <c r="EVK126" s="222"/>
      <c r="EVL126" s="222"/>
      <c r="EVM126" s="223"/>
      <c r="EVN126" s="223"/>
      <c r="EVO126" s="224"/>
      <c r="EVP126" s="223"/>
      <c r="EVQ126" s="223"/>
      <c r="EVR126" s="223"/>
      <c r="EVS126" s="223"/>
      <c r="EVT126" s="225"/>
      <c r="EVU126" s="220"/>
      <c r="EVV126" s="221"/>
      <c r="EVW126" s="222"/>
      <c r="EVX126" s="222"/>
      <c r="EVY126" s="223"/>
      <c r="EVZ126" s="223"/>
      <c r="EWA126" s="224"/>
      <c r="EWB126" s="223"/>
      <c r="EWC126" s="223"/>
      <c r="EWD126" s="223"/>
      <c r="EWE126" s="223"/>
      <c r="EWF126" s="225"/>
      <c r="EWG126" s="220"/>
      <c r="EWH126" s="221"/>
      <c r="EWI126" s="222"/>
      <c r="EWJ126" s="222"/>
      <c r="EWK126" s="223"/>
      <c r="EWL126" s="223"/>
      <c r="EWM126" s="224"/>
      <c r="EWN126" s="223"/>
      <c r="EWO126" s="223"/>
      <c r="EWP126" s="223"/>
      <c r="EWQ126" s="223"/>
      <c r="EWR126" s="225"/>
      <c r="EWS126" s="220"/>
      <c r="EWT126" s="221"/>
      <c r="EWU126" s="222"/>
      <c r="EWV126" s="222"/>
      <c r="EWW126" s="223"/>
      <c r="EWX126" s="223"/>
      <c r="EWY126" s="224"/>
      <c r="EWZ126" s="223"/>
      <c r="EXA126" s="223"/>
      <c r="EXB126" s="223"/>
      <c r="EXC126" s="223"/>
      <c r="EXD126" s="225"/>
      <c r="EXE126" s="220"/>
      <c r="EXF126" s="221"/>
      <c r="EXG126" s="222"/>
      <c r="EXH126" s="222"/>
      <c r="EXI126" s="223"/>
      <c r="EXJ126" s="223"/>
      <c r="EXK126" s="224"/>
      <c r="EXL126" s="223"/>
      <c r="EXM126" s="223"/>
      <c r="EXN126" s="223"/>
      <c r="EXO126" s="223"/>
      <c r="EXP126" s="225"/>
      <c r="EXQ126" s="220"/>
      <c r="EXR126" s="221"/>
      <c r="EXS126" s="222"/>
      <c r="EXT126" s="222"/>
      <c r="EXU126" s="223"/>
      <c r="EXV126" s="223"/>
      <c r="EXW126" s="224"/>
      <c r="EXX126" s="223"/>
      <c r="EXY126" s="223"/>
      <c r="EXZ126" s="223"/>
      <c r="EYA126" s="223"/>
      <c r="EYB126" s="225"/>
      <c r="EYC126" s="220"/>
      <c r="EYD126" s="221"/>
      <c r="EYE126" s="222"/>
      <c r="EYF126" s="222"/>
      <c r="EYG126" s="223"/>
      <c r="EYH126" s="223"/>
      <c r="EYI126" s="224"/>
      <c r="EYJ126" s="223"/>
      <c r="EYK126" s="223"/>
      <c r="EYL126" s="223"/>
      <c r="EYM126" s="223"/>
      <c r="EYN126" s="225"/>
      <c r="EYO126" s="220"/>
      <c r="EYP126" s="221"/>
      <c r="EYQ126" s="222"/>
      <c r="EYR126" s="222"/>
      <c r="EYS126" s="223"/>
      <c r="EYT126" s="223"/>
      <c r="EYU126" s="224"/>
      <c r="EYV126" s="223"/>
      <c r="EYW126" s="223"/>
      <c r="EYX126" s="223"/>
      <c r="EYY126" s="223"/>
      <c r="EYZ126" s="225"/>
      <c r="EZA126" s="220"/>
      <c r="EZB126" s="221"/>
      <c r="EZC126" s="222"/>
      <c r="EZD126" s="222"/>
      <c r="EZE126" s="223"/>
      <c r="EZF126" s="223"/>
      <c r="EZG126" s="224"/>
      <c r="EZH126" s="223"/>
      <c r="EZI126" s="223"/>
      <c r="EZJ126" s="223"/>
      <c r="EZK126" s="223"/>
      <c r="EZL126" s="225"/>
      <c r="EZM126" s="220"/>
      <c r="EZN126" s="221"/>
      <c r="EZO126" s="222"/>
      <c r="EZP126" s="222"/>
      <c r="EZQ126" s="223"/>
      <c r="EZR126" s="223"/>
      <c r="EZS126" s="224"/>
      <c r="EZT126" s="223"/>
      <c r="EZU126" s="223"/>
      <c r="EZV126" s="223"/>
      <c r="EZW126" s="223"/>
      <c r="EZX126" s="225"/>
      <c r="EZY126" s="220"/>
      <c r="EZZ126" s="221"/>
      <c r="FAA126" s="222"/>
      <c r="FAB126" s="222"/>
      <c r="FAC126" s="223"/>
      <c r="FAD126" s="223"/>
      <c r="FAE126" s="224"/>
      <c r="FAF126" s="223"/>
      <c r="FAG126" s="223"/>
      <c r="FAH126" s="223"/>
      <c r="FAI126" s="223"/>
      <c r="FAJ126" s="225"/>
      <c r="FAK126" s="220"/>
      <c r="FAL126" s="221"/>
      <c r="FAM126" s="222"/>
      <c r="FAN126" s="222"/>
      <c r="FAO126" s="223"/>
      <c r="FAP126" s="223"/>
      <c r="FAQ126" s="224"/>
      <c r="FAR126" s="223"/>
      <c r="FAS126" s="223"/>
      <c r="FAT126" s="223"/>
      <c r="FAU126" s="223"/>
      <c r="FAV126" s="225"/>
      <c r="FAW126" s="220"/>
      <c r="FAX126" s="221"/>
      <c r="FAY126" s="222"/>
      <c r="FAZ126" s="222"/>
      <c r="FBA126" s="223"/>
      <c r="FBB126" s="223"/>
      <c r="FBC126" s="224"/>
      <c r="FBD126" s="223"/>
      <c r="FBE126" s="223"/>
      <c r="FBF126" s="223"/>
      <c r="FBG126" s="223"/>
      <c r="FBH126" s="225"/>
      <c r="FBI126" s="220"/>
      <c r="FBJ126" s="221"/>
      <c r="FBK126" s="222"/>
      <c r="FBL126" s="222"/>
      <c r="FBM126" s="223"/>
      <c r="FBN126" s="223"/>
      <c r="FBO126" s="224"/>
      <c r="FBP126" s="223"/>
      <c r="FBQ126" s="223"/>
      <c r="FBR126" s="223"/>
      <c r="FBS126" s="223"/>
      <c r="FBT126" s="225"/>
      <c r="FBU126" s="220"/>
      <c r="FBV126" s="221"/>
      <c r="FBW126" s="222"/>
      <c r="FBX126" s="222"/>
      <c r="FBY126" s="223"/>
      <c r="FBZ126" s="223"/>
      <c r="FCA126" s="224"/>
      <c r="FCB126" s="223"/>
      <c r="FCC126" s="223"/>
      <c r="FCD126" s="223"/>
      <c r="FCE126" s="223"/>
      <c r="FCF126" s="225"/>
      <c r="FCG126" s="220"/>
      <c r="FCH126" s="221"/>
      <c r="FCI126" s="222"/>
      <c r="FCJ126" s="222"/>
      <c r="FCK126" s="223"/>
      <c r="FCL126" s="223"/>
      <c r="FCM126" s="224"/>
      <c r="FCN126" s="223"/>
      <c r="FCO126" s="223"/>
      <c r="FCP126" s="223"/>
      <c r="FCQ126" s="223"/>
      <c r="FCR126" s="225"/>
      <c r="FCS126" s="220"/>
      <c r="FCT126" s="221"/>
      <c r="FCU126" s="222"/>
      <c r="FCV126" s="222"/>
      <c r="FCW126" s="223"/>
      <c r="FCX126" s="223"/>
      <c r="FCY126" s="224"/>
      <c r="FCZ126" s="223"/>
      <c r="FDA126" s="223"/>
      <c r="FDB126" s="223"/>
      <c r="FDC126" s="223"/>
      <c r="FDD126" s="225"/>
      <c r="FDE126" s="220"/>
      <c r="FDF126" s="221"/>
      <c r="FDG126" s="222"/>
      <c r="FDH126" s="222"/>
      <c r="FDI126" s="223"/>
      <c r="FDJ126" s="223"/>
      <c r="FDK126" s="224"/>
      <c r="FDL126" s="223"/>
      <c r="FDM126" s="223"/>
      <c r="FDN126" s="223"/>
      <c r="FDO126" s="223"/>
      <c r="FDP126" s="225"/>
      <c r="FDQ126" s="220"/>
      <c r="FDR126" s="221"/>
      <c r="FDS126" s="222"/>
      <c r="FDT126" s="222"/>
      <c r="FDU126" s="223"/>
      <c r="FDV126" s="223"/>
      <c r="FDW126" s="224"/>
      <c r="FDX126" s="223"/>
      <c r="FDY126" s="223"/>
      <c r="FDZ126" s="223"/>
      <c r="FEA126" s="223"/>
      <c r="FEB126" s="225"/>
      <c r="FEC126" s="220"/>
      <c r="FED126" s="221"/>
      <c r="FEE126" s="222"/>
      <c r="FEF126" s="222"/>
      <c r="FEG126" s="223"/>
      <c r="FEH126" s="223"/>
      <c r="FEI126" s="224"/>
      <c r="FEJ126" s="223"/>
      <c r="FEK126" s="223"/>
      <c r="FEL126" s="223"/>
      <c r="FEM126" s="223"/>
      <c r="FEN126" s="225"/>
      <c r="FEO126" s="220"/>
      <c r="FEP126" s="221"/>
      <c r="FEQ126" s="222"/>
      <c r="FER126" s="222"/>
      <c r="FES126" s="223"/>
      <c r="FET126" s="223"/>
      <c r="FEU126" s="224"/>
      <c r="FEV126" s="223"/>
      <c r="FEW126" s="223"/>
      <c r="FEX126" s="223"/>
      <c r="FEY126" s="223"/>
      <c r="FEZ126" s="225"/>
      <c r="FFA126" s="220"/>
      <c r="FFB126" s="221"/>
      <c r="FFC126" s="222"/>
      <c r="FFD126" s="222"/>
      <c r="FFE126" s="223"/>
      <c r="FFF126" s="223"/>
      <c r="FFG126" s="224"/>
      <c r="FFH126" s="223"/>
      <c r="FFI126" s="223"/>
      <c r="FFJ126" s="223"/>
      <c r="FFK126" s="223"/>
      <c r="FFL126" s="225"/>
      <c r="FFM126" s="220"/>
      <c r="FFN126" s="221"/>
      <c r="FFO126" s="222"/>
      <c r="FFP126" s="222"/>
      <c r="FFQ126" s="223"/>
      <c r="FFR126" s="223"/>
      <c r="FFS126" s="224"/>
      <c r="FFT126" s="223"/>
      <c r="FFU126" s="223"/>
      <c r="FFV126" s="223"/>
      <c r="FFW126" s="223"/>
      <c r="FFX126" s="225"/>
      <c r="FFY126" s="220"/>
      <c r="FFZ126" s="221"/>
      <c r="FGA126" s="222"/>
      <c r="FGB126" s="222"/>
      <c r="FGC126" s="223"/>
      <c r="FGD126" s="223"/>
      <c r="FGE126" s="224"/>
      <c r="FGF126" s="223"/>
      <c r="FGG126" s="223"/>
      <c r="FGH126" s="223"/>
      <c r="FGI126" s="223"/>
      <c r="FGJ126" s="225"/>
      <c r="FGK126" s="220"/>
      <c r="FGL126" s="221"/>
      <c r="FGM126" s="222"/>
      <c r="FGN126" s="222"/>
      <c r="FGO126" s="223"/>
      <c r="FGP126" s="223"/>
      <c r="FGQ126" s="224"/>
      <c r="FGR126" s="223"/>
      <c r="FGS126" s="223"/>
      <c r="FGT126" s="223"/>
      <c r="FGU126" s="223"/>
      <c r="FGV126" s="225"/>
      <c r="FGW126" s="220"/>
      <c r="FGX126" s="221"/>
      <c r="FGY126" s="222"/>
      <c r="FGZ126" s="222"/>
      <c r="FHA126" s="223"/>
      <c r="FHB126" s="223"/>
      <c r="FHC126" s="224"/>
      <c r="FHD126" s="223"/>
      <c r="FHE126" s="223"/>
      <c r="FHF126" s="223"/>
      <c r="FHG126" s="223"/>
      <c r="FHH126" s="225"/>
      <c r="FHI126" s="220"/>
      <c r="FHJ126" s="221"/>
      <c r="FHK126" s="222"/>
      <c r="FHL126" s="222"/>
      <c r="FHM126" s="223"/>
      <c r="FHN126" s="223"/>
      <c r="FHO126" s="224"/>
      <c r="FHP126" s="223"/>
      <c r="FHQ126" s="223"/>
      <c r="FHR126" s="223"/>
      <c r="FHS126" s="223"/>
      <c r="FHT126" s="225"/>
      <c r="FHU126" s="220"/>
      <c r="FHV126" s="221"/>
      <c r="FHW126" s="222"/>
      <c r="FHX126" s="222"/>
      <c r="FHY126" s="223"/>
      <c r="FHZ126" s="223"/>
      <c r="FIA126" s="224"/>
      <c r="FIB126" s="223"/>
      <c r="FIC126" s="223"/>
      <c r="FID126" s="223"/>
      <c r="FIE126" s="223"/>
      <c r="FIF126" s="225"/>
      <c r="FIG126" s="220"/>
      <c r="FIH126" s="221"/>
      <c r="FII126" s="222"/>
      <c r="FIJ126" s="222"/>
      <c r="FIK126" s="223"/>
      <c r="FIL126" s="223"/>
      <c r="FIM126" s="224"/>
      <c r="FIN126" s="223"/>
      <c r="FIO126" s="223"/>
      <c r="FIP126" s="223"/>
      <c r="FIQ126" s="223"/>
      <c r="FIR126" s="225"/>
      <c r="FIS126" s="220"/>
      <c r="FIT126" s="221"/>
      <c r="FIU126" s="222"/>
      <c r="FIV126" s="222"/>
      <c r="FIW126" s="223"/>
      <c r="FIX126" s="223"/>
      <c r="FIY126" s="224"/>
      <c r="FIZ126" s="223"/>
      <c r="FJA126" s="223"/>
      <c r="FJB126" s="223"/>
      <c r="FJC126" s="223"/>
      <c r="FJD126" s="225"/>
      <c r="FJE126" s="220"/>
      <c r="FJF126" s="221"/>
      <c r="FJG126" s="222"/>
      <c r="FJH126" s="222"/>
      <c r="FJI126" s="223"/>
      <c r="FJJ126" s="223"/>
      <c r="FJK126" s="224"/>
      <c r="FJL126" s="223"/>
      <c r="FJM126" s="223"/>
      <c r="FJN126" s="223"/>
      <c r="FJO126" s="223"/>
      <c r="FJP126" s="225"/>
      <c r="FJQ126" s="220"/>
      <c r="FJR126" s="221"/>
      <c r="FJS126" s="222"/>
      <c r="FJT126" s="222"/>
      <c r="FJU126" s="223"/>
      <c r="FJV126" s="223"/>
      <c r="FJW126" s="224"/>
      <c r="FJX126" s="223"/>
      <c r="FJY126" s="223"/>
      <c r="FJZ126" s="223"/>
      <c r="FKA126" s="223"/>
      <c r="FKB126" s="225"/>
      <c r="FKC126" s="220"/>
      <c r="FKD126" s="221"/>
      <c r="FKE126" s="222"/>
      <c r="FKF126" s="222"/>
      <c r="FKG126" s="223"/>
      <c r="FKH126" s="223"/>
      <c r="FKI126" s="224"/>
      <c r="FKJ126" s="223"/>
      <c r="FKK126" s="223"/>
      <c r="FKL126" s="223"/>
      <c r="FKM126" s="223"/>
      <c r="FKN126" s="225"/>
      <c r="FKO126" s="220"/>
      <c r="FKP126" s="221"/>
      <c r="FKQ126" s="222"/>
      <c r="FKR126" s="222"/>
      <c r="FKS126" s="223"/>
      <c r="FKT126" s="223"/>
      <c r="FKU126" s="224"/>
      <c r="FKV126" s="223"/>
      <c r="FKW126" s="223"/>
      <c r="FKX126" s="223"/>
      <c r="FKY126" s="223"/>
      <c r="FKZ126" s="225"/>
      <c r="FLA126" s="220"/>
      <c r="FLB126" s="221"/>
      <c r="FLC126" s="222"/>
      <c r="FLD126" s="222"/>
      <c r="FLE126" s="223"/>
      <c r="FLF126" s="223"/>
      <c r="FLG126" s="224"/>
      <c r="FLH126" s="223"/>
      <c r="FLI126" s="223"/>
      <c r="FLJ126" s="223"/>
      <c r="FLK126" s="223"/>
      <c r="FLL126" s="225"/>
      <c r="FLM126" s="220"/>
      <c r="FLN126" s="221"/>
      <c r="FLO126" s="222"/>
      <c r="FLP126" s="222"/>
      <c r="FLQ126" s="223"/>
      <c r="FLR126" s="223"/>
      <c r="FLS126" s="224"/>
      <c r="FLT126" s="223"/>
      <c r="FLU126" s="223"/>
      <c r="FLV126" s="223"/>
      <c r="FLW126" s="223"/>
      <c r="FLX126" s="225"/>
      <c r="FLY126" s="220"/>
      <c r="FLZ126" s="221"/>
      <c r="FMA126" s="222"/>
      <c r="FMB126" s="222"/>
      <c r="FMC126" s="223"/>
      <c r="FMD126" s="223"/>
      <c r="FME126" s="224"/>
      <c r="FMF126" s="223"/>
      <c r="FMG126" s="223"/>
      <c r="FMH126" s="223"/>
      <c r="FMI126" s="223"/>
      <c r="FMJ126" s="225"/>
      <c r="FMK126" s="220"/>
      <c r="FML126" s="221"/>
      <c r="FMM126" s="222"/>
      <c r="FMN126" s="222"/>
      <c r="FMO126" s="223"/>
      <c r="FMP126" s="223"/>
      <c r="FMQ126" s="224"/>
      <c r="FMR126" s="223"/>
      <c r="FMS126" s="223"/>
      <c r="FMT126" s="223"/>
      <c r="FMU126" s="223"/>
      <c r="FMV126" s="225"/>
      <c r="FMW126" s="220"/>
      <c r="FMX126" s="221"/>
      <c r="FMY126" s="222"/>
      <c r="FMZ126" s="222"/>
      <c r="FNA126" s="223"/>
      <c r="FNB126" s="223"/>
      <c r="FNC126" s="224"/>
      <c r="FND126" s="223"/>
      <c r="FNE126" s="223"/>
      <c r="FNF126" s="223"/>
      <c r="FNG126" s="223"/>
      <c r="FNH126" s="225"/>
      <c r="FNI126" s="220"/>
      <c r="FNJ126" s="221"/>
      <c r="FNK126" s="222"/>
      <c r="FNL126" s="222"/>
      <c r="FNM126" s="223"/>
      <c r="FNN126" s="223"/>
      <c r="FNO126" s="224"/>
      <c r="FNP126" s="223"/>
      <c r="FNQ126" s="223"/>
      <c r="FNR126" s="223"/>
      <c r="FNS126" s="223"/>
      <c r="FNT126" s="225"/>
      <c r="FNU126" s="220"/>
      <c r="FNV126" s="221"/>
      <c r="FNW126" s="222"/>
      <c r="FNX126" s="222"/>
      <c r="FNY126" s="223"/>
      <c r="FNZ126" s="223"/>
      <c r="FOA126" s="224"/>
      <c r="FOB126" s="223"/>
      <c r="FOC126" s="223"/>
      <c r="FOD126" s="223"/>
      <c r="FOE126" s="223"/>
      <c r="FOF126" s="225"/>
      <c r="FOG126" s="220"/>
      <c r="FOH126" s="221"/>
      <c r="FOI126" s="222"/>
      <c r="FOJ126" s="222"/>
      <c r="FOK126" s="223"/>
      <c r="FOL126" s="223"/>
      <c r="FOM126" s="224"/>
      <c r="FON126" s="223"/>
      <c r="FOO126" s="223"/>
      <c r="FOP126" s="223"/>
      <c r="FOQ126" s="223"/>
      <c r="FOR126" s="225"/>
      <c r="FOS126" s="220"/>
      <c r="FOT126" s="221"/>
      <c r="FOU126" s="222"/>
      <c r="FOV126" s="222"/>
      <c r="FOW126" s="223"/>
      <c r="FOX126" s="223"/>
      <c r="FOY126" s="224"/>
      <c r="FOZ126" s="223"/>
      <c r="FPA126" s="223"/>
      <c r="FPB126" s="223"/>
      <c r="FPC126" s="223"/>
      <c r="FPD126" s="225"/>
      <c r="FPE126" s="220"/>
      <c r="FPF126" s="221"/>
      <c r="FPG126" s="222"/>
      <c r="FPH126" s="222"/>
      <c r="FPI126" s="223"/>
      <c r="FPJ126" s="223"/>
      <c r="FPK126" s="224"/>
      <c r="FPL126" s="223"/>
      <c r="FPM126" s="223"/>
      <c r="FPN126" s="223"/>
      <c r="FPO126" s="223"/>
      <c r="FPP126" s="225"/>
      <c r="FPQ126" s="220"/>
      <c r="FPR126" s="221"/>
      <c r="FPS126" s="222"/>
      <c r="FPT126" s="222"/>
      <c r="FPU126" s="223"/>
      <c r="FPV126" s="223"/>
      <c r="FPW126" s="224"/>
      <c r="FPX126" s="223"/>
      <c r="FPY126" s="223"/>
      <c r="FPZ126" s="223"/>
      <c r="FQA126" s="223"/>
      <c r="FQB126" s="225"/>
      <c r="FQC126" s="220"/>
      <c r="FQD126" s="221"/>
      <c r="FQE126" s="222"/>
      <c r="FQF126" s="222"/>
      <c r="FQG126" s="223"/>
      <c r="FQH126" s="223"/>
      <c r="FQI126" s="224"/>
      <c r="FQJ126" s="223"/>
      <c r="FQK126" s="223"/>
      <c r="FQL126" s="223"/>
      <c r="FQM126" s="223"/>
      <c r="FQN126" s="225"/>
      <c r="FQO126" s="220"/>
      <c r="FQP126" s="221"/>
      <c r="FQQ126" s="222"/>
      <c r="FQR126" s="222"/>
      <c r="FQS126" s="223"/>
      <c r="FQT126" s="223"/>
      <c r="FQU126" s="224"/>
      <c r="FQV126" s="223"/>
      <c r="FQW126" s="223"/>
      <c r="FQX126" s="223"/>
      <c r="FQY126" s="223"/>
      <c r="FQZ126" s="225"/>
      <c r="FRA126" s="220"/>
      <c r="FRB126" s="221"/>
      <c r="FRC126" s="222"/>
      <c r="FRD126" s="222"/>
      <c r="FRE126" s="223"/>
      <c r="FRF126" s="223"/>
      <c r="FRG126" s="224"/>
      <c r="FRH126" s="223"/>
      <c r="FRI126" s="223"/>
      <c r="FRJ126" s="223"/>
      <c r="FRK126" s="223"/>
      <c r="FRL126" s="225"/>
      <c r="FRM126" s="220"/>
      <c r="FRN126" s="221"/>
      <c r="FRO126" s="222"/>
      <c r="FRP126" s="222"/>
      <c r="FRQ126" s="223"/>
      <c r="FRR126" s="223"/>
      <c r="FRS126" s="224"/>
      <c r="FRT126" s="223"/>
      <c r="FRU126" s="223"/>
      <c r="FRV126" s="223"/>
      <c r="FRW126" s="223"/>
      <c r="FRX126" s="225"/>
      <c r="FRY126" s="220"/>
      <c r="FRZ126" s="221"/>
      <c r="FSA126" s="222"/>
      <c r="FSB126" s="222"/>
      <c r="FSC126" s="223"/>
      <c r="FSD126" s="223"/>
      <c r="FSE126" s="224"/>
      <c r="FSF126" s="223"/>
      <c r="FSG126" s="223"/>
      <c r="FSH126" s="223"/>
      <c r="FSI126" s="223"/>
      <c r="FSJ126" s="225"/>
      <c r="FSK126" s="220"/>
      <c r="FSL126" s="221"/>
      <c r="FSM126" s="222"/>
      <c r="FSN126" s="222"/>
      <c r="FSO126" s="223"/>
      <c r="FSP126" s="223"/>
      <c r="FSQ126" s="224"/>
      <c r="FSR126" s="223"/>
      <c r="FSS126" s="223"/>
      <c r="FST126" s="223"/>
      <c r="FSU126" s="223"/>
      <c r="FSV126" s="225"/>
      <c r="FSW126" s="220"/>
      <c r="FSX126" s="221"/>
      <c r="FSY126" s="222"/>
      <c r="FSZ126" s="222"/>
      <c r="FTA126" s="223"/>
      <c r="FTB126" s="223"/>
      <c r="FTC126" s="224"/>
      <c r="FTD126" s="223"/>
      <c r="FTE126" s="223"/>
      <c r="FTF126" s="223"/>
      <c r="FTG126" s="223"/>
      <c r="FTH126" s="225"/>
      <c r="FTI126" s="220"/>
      <c r="FTJ126" s="221"/>
      <c r="FTK126" s="222"/>
      <c r="FTL126" s="222"/>
      <c r="FTM126" s="223"/>
      <c r="FTN126" s="223"/>
      <c r="FTO126" s="224"/>
      <c r="FTP126" s="223"/>
      <c r="FTQ126" s="223"/>
      <c r="FTR126" s="223"/>
      <c r="FTS126" s="223"/>
      <c r="FTT126" s="225"/>
      <c r="FTU126" s="220"/>
      <c r="FTV126" s="221"/>
      <c r="FTW126" s="222"/>
      <c r="FTX126" s="222"/>
      <c r="FTY126" s="223"/>
      <c r="FTZ126" s="223"/>
      <c r="FUA126" s="224"/>
      <c r="FUB126" s="223"/>
      <c r="FUC126" s="223"/>
      <c r="FUD126" s="223"/>
      <c r="FUE126" s="223"/>
      <c r="FUF126" s="225"/>
      <c r="FUG126" s="220"/>
      <c r="FUH126" s="221"/>
      <c r="FUI126" s="222"/>
      <c r="FUJ126" s="222"/>
      <c r="FUK126" s="223"/>
      <c r="FUL126" s="223"/>
      <c r="FUM126" s="224"/>
      <c r="FUN126" s="223"/>
      <c r="FUO126" s="223"/>
      <c r="FUP126" s="223"/>
      <c r="FUQ126" s="223"/>
      <c r="FUR126" s="225"/>
      <c r="FUS126" s="220"/>
      <c r="FUT126" s="221"/>
      <c r="FUU126" s="222"/>
      <c r="FUV126" s="222"/>
      <c r="FUW126" s="223"/>
      <c r="FUX126" s="223"/>
      <c r="FUY126" s="224"/>
      <c r="FUZ126" s="223"/>
      <c r="FVA126" s="223"/>
      <c r="FVB126" s="223"/>
      <c r="FVC126" s="223"/>
      <c r="FVD126" s="225"/>
      <c r="FVE126" s="220"/>
      <c r="FVF126" s="221"/>
      <c r="FVG126" s="222"/>
      <c r="FVH126" s="222"/>
      <c r="FVI126" s="223"/>
      <c r="FVJ126" s="223"/>
      <c r="FVK126" s="224"/>
      <c r="FVL126" s="223"/>
      <c r="FVM126" s="223"/>
      <c r="FVN126" s="223"/>
      <c r="FVO126" s="223"/>
      <c r="FVP126" s="225"/>
      <c r="FVQ126" s="220"/>
      <c r="FVR126" s="221"/>
      <c r="FVS126" s="222"/>
      <c r="FVT126" s="222"/>
      <c r="FVU126" s="223"/>
      <c r="FVV126" s="223"/>
      <c r="FVW126" s="224"/>
      <c r="FVX126" s="223"/>
      <c r="FVY126" s="223"/>
      <c r="FVZ126" s="223"/>
      <c r="FWA126" s="223"/>
      <c r="FWB126" s="225"/>
      <c r="FWC126" s="220"/>
      <c r="FWD126" s="221"/>
      <c r="FWE126" s="222"/>
      <c r="FWF126" s="222"/>
      <c r="FWG126" s="223"/>
      <c r="FWH126" s="223"/>
      <c r="FWI126" s="224"/>
      <c r="FWJ126" s="223"/>
      <c r="FWK126" s="223"/>
      <c r="FWL126" s="223"/>
      <c r="FWM126" s="223"/>
      <c r="FWN126" s="225"/>
      <c r="FWO126" s="220"/>
      <c r="FWP126" s="221"/>
      <c r="FWQ126" s="222"/>
      <c r="FWR126" s="222"/>
      <c r="FWS126" s="223"/>
      <c r="FWT126" s="223"/>
      <c r="FWU126" s="224"/>
      <c r="FWV126" s="223"/>
      <c r="FWW126" s="223"/>
      <c r="FWX126" s="223"/>
      <c r="FWY126" s="223"/>
      <c r="FWZ126" s="225"/>
      <c r="FXA126" s="220"/>
      <c r="FXB126" s="221"/>
      <c r="FXC126" s="222"/>
      <c r="FXD126" s="222"/>
      <c r="FXE126" s="223"/>
      <c r="FXF126" s="223"/>
      <c r="FXG126" s="224"/>
      <c r="FXH126" s="223"/>
      <c r="FXI126" s="223"/>
      <c r="FXJ126" s="223"/>
      <c r="FXK126" s="223"/>
      <c r="FXL126" s="225"/>
      <c r="FXM126" s="220"/>
      <c r="FXN126" s="221"/>
      <c r="FXO126" s="222"/>
      <c r="FXP126" s="222"/>
      <c r="FXQ126" s="223"/>
      <c r="FXR126" s="223"/>
      <c r="FXS126" s="224"/>
      <c r="FXT126" s="223"/>
      <c r="FXU126" s="223"/>
      <c r="FXV126" s="223"/>
      <c r="FXW126" s="223"/>
      <c r="FXX126" s="225"/>
      <c r="FXY126" s="220"/>
      <c r="FXZ126" s="221"/>
      <c r="FYA126" s="222"/>
      <c r="FYB126" s="222"/>
      <c r="FYC126" s="223"/>
      <c r="FYD126" s="223"/>
      <c r="FYE126" s="224"/>
      <c r="FYF126" s="223"/>
      <c r="FYG126" s="223"/>
      <c r="FYH126" s="223"/>
      <c r="FYI126" s="223"/>
      <c r="FYJ126" s="225"/>
      <c r="FYK126" s="220"/>
      <c r="FYL126" s="221"/>
      <c r="FYM126" s="222"/>
      <c r="FYN126" s="222"/>
      <c r="FYO126" s="223"/>
      <c r="FYP126" s="223"/>
      <c r="FYQ126" s="224"/>
      <c r="FYR126" s="223"/>
      <c r="FYS126" s="223"/>
      <c r="FYT126" s="223"/>
      <c r="FYU126" s="223"/>
      <c r="FYV126" s="225"/>
      <c r="FYW126" s="220"/>
      <c r="FYX126" s="221"/>
      <c r="FYY126" s="222"/>
      <c r="FYZ126" s="222"/>
      <c r="FZA126" s="223"/>
      <c r="FZB126" s="223"/>
      <c r="FZC126" s="224"/>
      <c r="FZD126" s="223"/>
      <c r="FZE126" s="223"/>
      <c r="FZF126" s="223"/>
      <c r="FZG126" s="223"/>
      <c r="FZH126" s="225"/>
      <c r="FZI126" s="220"/>
      <c r="FZJ126" s="221"/>
      <c r="FZK126" s="222"/>
      <c r="FZL126" s="222"/>
      <c r="FZM126" s="223"/>
      <c r="FZN126" s="223"/>
      <c r="FZO126" s="224"/>
      <c r="FZP126" s="223"/>
      <c r="FZQ126" s="223"/>
      <c r="FZR126" s="223"/>
      <c r="FZS126" s="223"/>
      <c r="FZT126" s="225"/>
      <c r="FZU126" s="220"/>
      <c r="FZV126" s="221"/>
      <c r="FZW126" s="222"/>
      <c r="FZX126" s="222"/>
      <c r="FZY126" s="223"/>
      <c r="FZZ126" s="223"/>
      <c r="GAA126" s="224"/>
      <c r="GAB126" s="223"/>
      <c r="GAC126" s="223"/>
      <c r="GAD126" s="223"/>
      <c r="GAE126" s="223"/>
      <c r="GAF126" s="225"/>
      <c r="GAG126" s="220"/>
      <c r="GAH126" s="221"/>
      <c r="GAI126" s="222"/>
      <c r="GAJ126" s="222"/>
      <c r="GAK126" s="223"/>
      <c r="GAL126" s="223"/>
      <c r="GAM126" s="224"/>
      <c r="GAN126" s="223"/>
      <c r="GAO126" s="223"/>
      <c r="GAP126" s="223"/>
      <c r="GAQ126" s="223"/>
      <c r="GAR126" s="225"/>
      <c r="GAS126" s="220"/>
      <c r="GAT126" s="221"/>
      <c r="GAU126" s="222"/>
      <c r="GAV126" s="222"/>
      <c r="GAW126" s="223"/>
      <c r="GAX126" s="223"/>
      <c r="GAY126" s="224"/>
      <c r="GAZ126" s="223"/>
      <c r="GBA126" s="223"/>
      <c r="GBB126" s="223"/>
      <c r="GBC126" s="223"/>
      <c r="GBD126" s="225"/>
      <c r="GBE126" s="220"/>
      <c r="GBF126" s="221"/>
      <c r="GBG126" s="222"/>
      <c r="GBH126" s="222"/>
      <c r="GBI126" s="223"/>
      <c r="GBJ126" s="223"/>
      <c r="GBK126" s="224"/>
      <c r="GBL126" s="223"/>
      <c r="GBM126" s="223"/>
      <c r="GBN126" s="223"/>
      <c r="GBO126" s="223"/>
      <c r="GBP126" s="225"/>
      <c r="GBQ126" s="220"/>
      <c r="GBR126" s="221"/>
      <c r="GBS126" s="222"/>
      <c r="GBT126" s="222"/>
      <c r="GBU126" s="223"/>
      <c r="GBV126" s="223"/>
      <c r="GBW126" s="224"/>
      <c r="GBX126" s="223"/>
      <c r="GBY126" s="223"/>
      <c r="GBZ126" s="223"/>
      <c r="GCA126" s="223"/>
      <c r="GCB126" s="225"/>
      <c r="GCC126" s="220"/>
      <c r="GCD126" s="221"/>
      <c r="GCE126" s="222"/>
      <c r="GCF126" s="222"/>
      <c r="GCG126" s="223"/>
      <c r="GCH126" s="223"/>
      <c r="GCI126" s="224"/>
      <c r="GCJ126" s="223"/>
      <c r="GCK126" s="223"/>
      <c r="GCL126" s="223"/>
      <c r="GCM126" s="223"/>
      <c r="GCN126" s="225"/>
      <c r="GCO126" s="220"/>
      <c r="GCP126" s="221"/>
      <c r="GCQ126" s="222"/>
      <c r="GCR126" s="222"/>
      <c r="GCS126" s="223"/>
      <c r="GCT126" s="223"/>
      <c r="GCU126" s="224"/>
      <c r="GCV126" s="223"/>
      <c r="GCW126" s="223"/>
      <c r="GCX126" s="223"/>
      <c r="GCY126" s="223"/>
      <c r="GCZ126" s="225"/>
      <c r="GDA126" s="220"/>
      <c r="GDB126" s="221"/>
      <c r="GDC126" s="222"/>
      <c r="GDD126" s="222"/>
      <c r="GDE126" s="223"/>
      <c r="GDF126" s="223"/>
      <c r="GDG126" s="224"/>
      <c r="GDH126" s="223"/>
      <c r="GDI126" s="223"/>
      <c r="GDJ126" s="223"/>
      <c r="GDK126" s="223"/>
      <c r="GDL126" s="225"/>
      <c r="GDM126" s="220"/>
      <c r="GDN126" s="221"/>
      <c r="GDO126" s="222"/>
      <c r="GDP126" s="222"/>
      <c r="GDQ126" s="223"/>
      <c r="GDR126" s="223"/>
      <c r="GDS126" s="224"/>
      <c r="GDT126" s="223"/>
      <c r="GDU126" s="223"/>
      <c r="GDV126" s="223"/>
      <c r="GDW126" s="223"/>
      <c r="GDX126" s="225"/>
      <c r="GDY126" s="220"/>
      <c r="GDZ126" s="221"/>
      <c r="GEA126" s="222"/>
      <c r="GEB126" s="222"/>
      <c r="GEC126" s="223"/>
      <c r="GED126" s="223"/>
      <c r="GEE126" s="224"/>
      <c r="GEF126" s="223"/>
      <c r="GEG126" s="223"/>
      <c r="GEH126" s="223"/>
      <c r="GEI126" s="223"/>
      <c r="GEJ126" s="225"/>
      <c r="GEK126" s="220"/>
      <c r="GEL126" s="221"/>
      <c r="GEM126" s="222"/>
      <c r="GEN126" s="222"/>
      <c r="GEO126" s="223"/>
      <c r="GEP126" s="223"/>
      <c r="GEQ126" s="224"/>
      <c r="GER126" s="223"/>
      <c r="GES126" s="223"/>
      <c r="GET126" s="223"/>
      <c r="GEU126" s="223"/>
      <c r="GEV126" s="225"/>
      <c r="GEW126" s="220"/>
      <c r="GEX126" s="221"/>
      <c r="GEY126" s="222"/>
      <c r="GEZ126" s="222"/>
      <c r="GFA126" s="223"/>
      <c r="GFB126" s="223"/>
      <c r="GFC126" s="224"/>
      <c r="GFD126" s="223"/>
      <c r="GFE126" s="223"/>
      <c r="GFF126" s="223"/>
      <c r="GFG126" s="223"/>
      <c r="GFH126" s="225"/>
      <c r="GFI126" s="220"/>
      <c r="GFJ126" s="221"/>
      <c r="GFK126" s="222"/>
      <c r="GFL126" s="222"/>
      <c r="GFM126" s="223"/>
      <c r="GFN126" s="223"/>
      <c r="GFO126" s="224"/>
      <c r="GFP126" s="223"/>
      <c r="GFQ126" s="223"/>
      <c r="GFR126" s="223"/>
      <c r="GFS126" s="223"/>
      <c r="GFT126" s="225"/>
      <c r="GFU126" s="220"/>
      <c r="GFV126" s="221"/>
      <c r="GFW126" s="222"/>
      <c r="GFX126" s="222"/>
      <c r="GFY126" s="223"/>
      <c r="GFZ126" s="223"/>
      <c r="GGA126" s="224"/>
      <c r="GGB126" s="223"/>
      <c r="GGC126" s="223"/>
      <c r="GGD126" s="223"/>
      <c r="GGE126" s="223"/>
      <c r="GGF126" s="225"/>
      <c r="GGG126" s="220"/>
      <c r="GGH126" s="221"/>
      <c r="GGI126" s="222"/>
      <c r="GGJ126" s="222"/>
      <c r="GGK126" s="223"/>
      <c r="GGL126" s="223"/>
      <c r="GGM126" s="224"/>
      <c r="GGN126" s="223"/>
      <c r="GGO126" s="223"/>
      <c r="GGP126" s="223"/>
      <c r="GGQ126" s="223"/>
      <c r="GGR126" s="225"/>
      <c r="GGS126" s="220"/>
      <c r="GGT126" s="221"/>
      <c r="GGU126" s="222"/>
      <c r="GGV126" s="222"/>
      <c r="GGW126" s="223"/>
      <c r="GGX126" s="223"/>
      <c r="GGY126" s="224"/>
      <c r="GGZ126" s="223"/>
      <c r="GHA126" s="223"/>
      <c r="GHB126" s="223"/>
      <c r="GHC126" s="223"/>
      <c r="GHD126" s="225"/>
      <c r="GHE126" s="220"/>
      <c r="GHF126" s="221"/>
      <c r="GHG126" s="222"/>
      <c r="GHH126" s="222"/>
      <c r="GHI126" s="223"/>
      <c r="GHJ126" s="223"/>
      <c r="GHK126" s="224"/>
      <c r="GHL126" s="223"/>
      <c r="GHM126" s="223"/>
      <c r="GHN126" s="223"/>
      <c r="GHO126" s="223"/>
      <c r="GHP126" s="225"/>
      <c r="GHQ126" s="220"/>
      <c r="GHR126" s="221"/>
      <c r="GHS126" s="222"/>
      <c r="GHT126" s="222"/>
      <c r="GHU126" s="223"/>
      <c r="GHV126" s="223"/>
      <c r="GHW126" s="224"/>
      <c r="GHX126" s="223"/>
      <c r="GHY126" s="223"/>
      <c r="GHZ126" s="223"/>
      <c r="GIA126" s="223"/>
      <c r="GIB126" s="225"/>
      <c r="GIC126" s="220"/>
      <c r="GID126" s="221"/>
      <c r="GIE126" s="222"/>
      <c r="GIF126" s="222"/>
      <c r="GIG126" s="223"/>
      <c r="GIH126" s="223"/>
      <c r="GII126" s="224"/>
      <c r="GIJ126" s="223"/>
      <c r="GIK126" s="223"/>
      <c r="GIL126" s="223"/>
      <c r="GIM126" s="223"/>
      <c r="GIN126" s="225"/>
      <c r="GIO126" s="220"/>
      <c r="GIP126" s="221"/>
      <c r="GIQ126" s="222"/>
      <c r="GIR126" s="222"/>
      <c r="GIS126" s="223"/>
      <c r="GIT126" s="223"/>
      <c r="GIU126" s="224"/>
      <c r="GIV126" s="223"/>
      <c r="GIW126" s="223"/>
      <c r="GIX126" s="223"/>
      <c r="GIY126" s="223"/>
      <c r="GIZ126" s="225"/>
      <c r="GJA126" s="220"/>
      <c r="GJB126" s="221"/>
      <c r="GJC126" s="222"/>
      <c r="GJD126" s="222"/>
      <c r="GJE126" s="223"/>
      <c r="GJF126" s="223"/>
      <c r="GJG126" s="224"/>
      <c r="GJH126" s="223"/>
      <c r="GJI126" s="223"/>
      <c r="GJJ126" s="223"/>
      <c r="GJK126" s="223"/>
      <c r="GJL126" s="225"/>
      <c r="GJM126" s="220"/>
      <c r="GJN126" s="221"/>
      <c r="GJO126" s="222"/>
      <c r="GJP126" s="222"/>
      <c r="GJQ126" s="223"/>
      <c r="GJR126" s="223"/>
      <c r="GJS126" s="224"/>
      <c r="GJT126" s="223"/>
      <c r="GJU126" s="223"/>
      <c r="GJV126" s="223"/>
      <c r="GJW126" s="223"/>
      <c r="GJX126" s="225"/>
      <c r="GJY126" s="220"/>
      <c r="GJZ126" s="221"/>
      <c r="GKA126" s="222"/>
      <c r="GKB126" s="222"/>
      <c r="GKC126" s="223"/>
      <c r="GKD126" s="223"/>
      <c r="GKE126" s="224"/>
      <c r="GKF126" s="223"/>
      <c r="GKG126" s="223"/>
      <c r="GKH126" s="223"/>
      <c r="GKI126" s="223"/>
      <c r="GKJ126" s="225"/>
      <c r="GKK126" s="220"/>
      <c r="GKL126" s="221"/>
      <c r="GKM126" s="222"/>
      <c r="GKN126" s="222"/>
      <c r="GKO126" s="223"/>
      <c r="GKP126" s="223"/>
      <c r="GKQ126" s="224"/>
      <c r="GKR126" s="223"/>
      <c r="GKS126" s="223"/>
      <c r="GKT126" s="223"/>
      <c r="GKU126" s="223"/>
      <c r="GKV126" s="225"/>
      <c r="GKW126" s="220"/>
      <c r="GKX126" s="221"/>
      <c r="GKY126" s="222"/>
      <c r="GKZ126" s="222"/>
      <c r="GLA126" s="223"/>
      <c r="GLB126" s="223"/>
      <c r="GLC126" s="224"/>
      <c r="GLD126" s="223"/>
      <c r="GLE126" s="223"/>
      <c r="GLF126" s="223"/>
      <c r="GLG126" s="223"/>
      <c r="GLH126" s="225"/>
      <c r="GLI126" s="220"/>
      <c r="GLJ126" s="221"/>
      <c r="GLK126" s="222"/>
      <c r="GLL126" s="222"/>
      <c r="GLM126" s="223"/>
      <c r="GLN126" s="223"/>
      <c r="GLO126" s="224"/>
      <c r="GLP126" s="223"/>
      <c r="GLQ126" s="223"/>
      <c r="GLR126" s="223"/>
      <c r="GLS126" s="223"/>
      <c r="GLT126" s="225"/>
      <c r="GLU126" s="220"/>
      <c r="GLV126" s="221"/>
      <c r="GLW126" s="222"/>
      <c r="GLX126" s="222"/>
      <c r="GLY126" s="223"/>
      <c r="GLZ126" s="223"/>
      <c r="GMA126" s="224"/>
      <c r="GMB126" s="223"/>
      <c r="GMC126" s="223"/>
      <c r="GMD126" s="223"/>
      <c r="GME126" s="223"/>
      <c r="GMF126" s="225"/>
      <c r="GMG126" s="220"/>
      <c r="GMH126" s="221"/>
      <c r="GMI126" s="222"/>
      <c r="GMJ126" s="222"/>
      <c r="GMK126" s="223"/>
      <c r="GML126" s="223"/>
      <c r="GMM126" s="224"/>
      <c r="GMN126" s="223"/>
      <c r="GMO126" s="223"/>
      <c r="GMP126" s="223"/>
      <c r="GMQ126" s="223"/>
      <c r="GMR126" s="225"/>
      <c r="GMS126" s="220"/>
      <c r="GMT126" s="221"/>
      <c r="GMU126" s="222"/>
      <c r="GMV126" s="222"/>
      <c r="GMW126" s="223"/>
      <c r="GMX126" s="223"/>
      <c r="GMY126" s="224"/>
      <c r="GMZ126" s="223"/>
      <c r="GNA126" s="223"/>
      <c r="GNB126" s="223"/>
      <c r="GNC126" s="223"/>
      <c r="GND126" s="225"/>
      <c r="GNE126" s="220"/>
      <c r="GNF126" s="221"/>
      <c r="GNG126" s="222"/>
      <c r="GNH126" s="222"/>
      <c r="GNI126" s="223"/>
      <c r="GNJ126" s="223"/>
      <c r="GNK126" s="224"/>
      <c r="GNL126" s="223"/>
      <c r="GNM126" s="223"/>
      <c r="GNN126" s="223"/>
      <c r="GNO126" s="223"/>
      <c r="GNP126" s="225"/>
      <c r="GNQ126" s="220"/>
      <c r="GNR126" s="221"/>
      <c r="GNS126" s="222"/>
      <c r="GNT126" s="222"/>
      <c r="GNU126" s="223"/>
      <c r="GNV126" s="223"/>
      <c r="GNW126" s="224"/>
      <c r="GNX126" s="223"/>
      <c r="GNY126" s="223"/>
      <c r="GNZ126" s="223"/>
      <c r="GOA126" s="223"/>
      <c r="GOB126" s="225"/>
      <c r="GOC126" s="220"/>
      <c r="GOD126" s="221"/>
      <c r="GOE126" s="222"/>
      <c r="GOF126" s="222"/>
      <c r="GOG126" s="223"/>
      <c r="GOH126" s="223"/>
      <c r="GOI126" s="224"/>
      <c r="GOJ126" s="223"/>
      <c r="GOK126" s="223"/>
      <c r="GOL126" s="223"/>
      <c r="GOM126" s="223"/>
      <c r="GON126" s="225"/>
      <c r="GOO126" s="220"/>
      <c r="GOP126" s="221"/>
      <c r="GOQ126" s="222"/>
      <c r="GOR126" s="222"/>
      <c r="GOS126" s="223"/>
      <c r="GOT126" s="223"/>
      <c r="GOU126" s="224"/>
      <c r="GOV126" s="223"/>
      <c r="GOW126" s="223"/>
      <c r="GOX126" s="223"/>
      <c r="GOY126" s="223"/>
      <c r="GOZ126" s="225"/>
      <c r="GPA126" s="220"/>
      <c r="GPB126" s="221"/>
      <c r="GPC126" s="222"/>
      <c r="GPD126" s="222"/>
      <c r="GPE126" s="223"/>
      <c r="GPF126" s="223"/>
      <c r="GPG126" s="224"/>
      <c r="GPH126" s="223"/>
      <c r="GPI126" s="223"/>
      <c r="GPJ126" s="223"/>
      <c r="GPK126" s="223"/>
      <c r="GPL126" s="225"/>
      <c r="GPM126" s="220"/>
      <c r="GPN126" s="221"/>
      <c r="GPO126" s="222"/>
      <c r="GPP126" s="222"/>
      <c r="GPQ126" s="223"/>
      <c r="GPR126" s="223"/>
      <c r="GPS126" s="224"/>
      <c r="GPT126" s="223"/>
      <c r="GPU126" s="223"/>
      <c r="GPV126" s="223"/>
      <c r="GPW126" s="223"/>
      <c r="GPX126" s="225"/>
      <c r="GPY126" s="220"/>
      <c r="GPZ126" s="221"/>
      <c r="GQA126" s="222"/>
      <c r="GQB126" s="222"/>
      <c r="GQC126" s="223"/>
      <c r="GQD126" s="223"/>
      <c r="GQE126" s="224"/>
      <c r="GQF126" s="223"/>
      <c r="GQG126" s="223"/>
      <c r="GQH126" s="223"/>
      <c r="GQI126" s="223"/>
      <c r="GQJ126" s="225"/>
      <c r="GQK126" s="220"/>
      <c r="GQL126" s="221"/>
      <c r="GQM126" s="222"/>
      <c r="GQN126" s="222"/>
      <c r="GQO126" s="223"/>
      <c r="GQP126" s="223"/>
      <c r="GQQ126" s="224"/>
      <c r="GQR126" s="223"/>
      <c r="GQS126" s="223"/>
      <c r="GQT126" s="223"/>
      <c r="GQU126" s="223"/>
      <c r="GQV126" s="225"/>
      <c r="GQW126" s="220"/>
      <c r="GQX126" s="221"/>
      <c r="GQY126" s="222"/>
      <c r="GQZ126" s="222"/>
      <c r="GRA126" s="223"/>
      <c r="GRB126" s="223"/>
      <c r="GRC126" s="224"/>
      <c r="GRD126" s="223"/>
      <c r="GRE126" s="223"/>
      <c r="GRF126" s="223"/>
      <c r="GRG126" s="223"/>
      <c r="GRH126" s="225"/>
      <c r="GRI126" s="220"/>
      <c r="GRJ126" s="221"/>
      <c r="GRK126" s="222"/>
      <c r="GRL126" s="222"/>
      <c r="GRM126" s="223"/>
      <c r="GRN126" s="223"/>
      <c r="GRO126" s="224"/>
      <c r="GRP126" s="223"/>
      <c r="GRQ126" s="223"/>
      <c r="GRR126" s="223"/>
      <c r="GRS126" s="223"/>
      <c r="GRT126" s="225"/>
      <c r="GRU126" s="220"/>
      <c r="GRV126" s="221"/>
      <c r="GRW126" s="222"/>
      <c r="GRX126" s="222"/>
      <c r="GRY126" s="223"/>
      <c r="GRZ126" s="223"/>
      <c r="GSA126" s="224"/>
      <c r="GSB126" s="223"/>
      <c r="GSC126" s="223"/>
      <c r="GSD126" s="223"/>
      <c r="GSE126" s="223"/>
      <c r="GSF126" s="225"/>
      <c r="GSG126" s="220"/>
      <c r="GSH126" s="221"/>
      <c r="GSI126" s="222"/>
      <c r="GSJ126" s="222"/>
      <c r="GSK126" s="223"/>
      <c r="GSL126" s="223"/>
      <c r="GSM126" s="224"/>
      <c r="GSN126" s="223"/>
      <c r="GSO126" s="223"/>
      <c r="GSP126" s="223"/>
      <c r="GSQ126" s="223"/>
      <c r="GSR126" s="225"/>
      <c r="GSS126" s="220"/>
      <c r="GST126" s="221"/>
      <c r="GSU126" s="222"/>
      <c r="GSV126" s="222"/>
      <c r="GSW126" s="223"/>
      <c r="GSX126" s="223"/>
      <c r="GSY126" s="224"/>
      <c r="GSZ126" s="223"/>
      <c r="GTA126" s="223"/>
      <c r="GTB126" s="223"/>
      <c r="GTC126" s="223"/>
      <c r="GTD126" s="225"/>
      <c r="GTE126" s="220"/>
      <c r="GTF126" s="221"/>
      <c r="GTG126" s="222"/>
      <c r="GTH126" s="222"/>
      <c r="GTI126" s="223"/>
      <c r="GTJ126" s="223"/>
      <c r="GTK126" s="224"/>
      <c r="GTL126" s="223"/>
      <c r="GTM126" s="223"/>
      <c r="GTN126" s="223"/>
      <c r="GTO126" s="223"/>
      <c r="GTP126" s="225"/>
      <c r="GTQ126" s="220"/>
      <c r="GTR126" s="221"/>
      <c r="GTS126" s="222"/>
      <c r="GTT126" s="222"/>
      <c r="GTU126" s="223"/>
      <c r="GTV126" s="223"/>
      <c r="GTW126" s="224"/>
      <c r="GTX126" s="223"/>
      <c r="GTY126" s="223"/>
      <c r="GTZ126" s="223"/>
      <c r="GUA126" s="223"/>
      <c r="GUB126" s="225"/>
      <c r="GUC126" s="220"/>
      <c r="GUD126" s="221"/>
      <c r="GUE126" s="222"/>
      <c r="GUF126" s="222"/>
      <c r="GUG126" s="223"/>
      <c r="GUH126" s="223"/>
      <c r="GUI126" s="224"/>
      <c r="GUJ126" s="223"/>
      <c r="GUK126" s="223"/>
      <c r="GUL126" s="223"/>
      <c r="GUM126" s="223"/>
      <c r="GUN126" s="225"/>
      <c r="GUO126" s="220"/>
      <c r="GUP126" s="221"/>
      <c r="GUQ126" s="222"/>
      <c r="GUR126" s="222"/>
      <c r="GUS126" s="223"/>
      <c r="GUT126" s="223"/>
      <c r="GUU126" s="224"/>
      <c r="GUV126" s="223"/>
      <c r="GUW126" s="223"/>
      <c r="GUX126" s="223"/>
      <c r="GUY126" s="223"/>
      <c r="GUZ126" s="225"/>
      <c r="GVA126" s="220"/>
      <c r="GVB126" s="221"/>
      <c r="GVC126" s="222"/>
      <c r="GVD126" s="222"/>
      <c r="GVE126" s="223"/>
      <c r="GVF126" s="223"/>
      <c r="GVG126" s="224"/>
      <c r="GVH126" s="223"/>
      <c r="GVI126" s="223"/>
      <c r="GVJ126" s="223"/>
      <c r="GVK126" s="223"/>
      <c r="GVL126" s="225"/>
      <c r="GVM126" s="220"/>
      <c r="GVN126" s="221"/>
      <c r="GVO126" s="222"/>
      <c r="GVP126" s="222"/>
      <c r="GVQ126" s="223"/>
      <c r="GVR126" s="223"/>
      <c r="GVS126" s="224"/>
      <c r="GVT126" s="223"/>
      <c r="GVU126" s="223"/>
      <c r="GVV126" s="223"/>
      <c r="GVW126" s="223"/>
      <c r="GVX126" s="225"/>
      <c r="GVY126" s="220"/>
      <c r="GVZ126" s="221"/>
      <c r="GWA126" s="222"/>
      <c r="GWB126" s="222"/>
      <c r="GWC126" s="223"/>
      <c r="GWD126" s="223"/>
      <c r="GWE126" s="224"/>
      <c r="GWF126" s="223"/>
      <c r="GWG126" s="223"/>
      <c r="GWH126" s="223"/>
      <c r="GWI126" s="223"/>
      <c r="GWJ126" s="225"/>
      <c r="GWK126" s="220"/>
      <c r="GWL126" s="221"/>
      <c r="GWM126" s="222"/>
      <c r="GWN126" s="222"/>
      <c r="GWO126" s="223"/>
      <c r="GWP126" s="223"/>
      <c r="GWQ126" s="224"/>
      <c r="GWR126" s="223"/>
      <c r="GWS126" s="223"/>
      <c r="GWT126" s="223"/>
      <c r="GWU126" s="223"/>
      <c r="GWV126" s="225"/>
      <c r="GWW126" s="220"/>
      <c r="GWX126" s="221"/>
      <c r="GWY126" s="222"/>
      <c r="GWZ126" s="222"/>
      <c r="GXA126" s="223"/>
      <c r="GXB126" s="223"/>
      <c r="GXC126" s="224"/>
      <c r="GXD126" s="223"/>
      <c r="GXE126" s="223"/>
      <c r="GXF126" s="223"/>
      <c r="GXG126" s="223"/>
      <c r="GXH126" s="225"/>
      <c r="GXI126" s="220"/>
      <c r="GXJ126" s="221"/>
      <c r="GXK126" s="222"/>
      <c r="GXL126" s="222"/>
      <c r="GXM126" s="223"/>
      <c r="GXN126" s="223"/>
      <c r="GXO126" s="224"/>
      <c r="GXP126" s="223"/>
      <c r="GXQ126" s="223"/>
      <c r="GXR126" s="223"/>
      <c r="GXS126" s="223"/>
      <c r="GXT126" s="225"/>
      <c r="GXU126" s="220"/>
      <c r="GXV126" s="221"/>
      <c r="GXW126" s="222"/>
      <c r="GXX126" s="222"/>
      <c r="GXY126" s="223"/>
      <c r="GXZ126" s="223"/>
      <c r="GYA126" s="224"/>
      <c r="GYB126" s="223"/>
      <c r="GYC126" s="223"/>
      <c r="GYD126" s="223"/>
      <c r="GYE126" s="223"/>
      <c r="GYF126" s="225"/>
      <c r="GYG126" s="220"/>
      <c r="GYH126" s="221"/>
      <c r="GYI126" s="222"/>
      <c r="GYJ126" s="222"/>
      <c r="GYK126" s="223"/>
      <c r="GYL126" s="223"/>
      <c r="GYM126" s="224"/>
      <c r="GYN126" s="223"/>
      <c r="GYO126" s="223"/>
      <c r="GYP126" s="223"/>
      <c r="GYQ126" s="223"/>
      <c r="GYR126" s="225"/>
      <c r="GYS126" s="220"/>
      <c r="GYT126" s="221"/>
      <c r="GYU126" s="222"/>
      <c r="GYV126" s="222"/>
      <c r="GYW126" s="223"/>
      <c r="GYX126" s="223"/>
      <c r="GYY126" s="224"/>
      <c r="GYZ126" s="223"/>
      <c r="GZA126" s="223"/>
      <c r="GZB126" s="223"/>
      <c r="GZC126" s="223"/>
      <c r="GZD126" s="225"/>
      <c r="GZE126" s="220"/>
      <c r="GZF126" s="221"/>
      <c r="GZG126" s="222"/>
      <c r="GZH126" s="222"/>
      <c r="GZI126" s="223"/>
      <c r="GZJ126" s="223"/>
      <c r="GZK126" s="224"/>
      <c r="GZL126" s="223"/>
      <c r="GZM126" s="223"/>
      <c r="GZN126" s="223"/>
      <c r="GZO126" s="223"/>
      <c r="GZP126" s="225"/>
      <c r="GZQ126" s="220"/>
      <c r="GZR126" s="221"/>
      <c r="GZS126" s="222"/>
      <c r="GZT126" s="222"/>
      <c r="GZU126" s="223"/>
      <c r="GZV126" s="223"/>
      <c r="GZW126" s="224"/>
      <c r="GZX126" s="223"/>
      <c r="GZY126" s="223"/>
      <c r="GZZ126" s="223"/>
      <c r="HAA126" s="223"/>
      <c r="HAB126" s="225"/>
      <c r="HAC126" s="220"/>
      <c r="HAD126" s="221"/>
      <c r="HAE126" s="222"/>
      <c r="HAF126" s="222"/>
      <c r="HAG126" s="223"/>
      <c r="HAH126" s="223"/>
      <c r="HAI126" s="224"/>
      <c r="HAJ126" s="223"/>
      <c r="HAK126" s="223"/>
      <c r="HAL126" s="223"/>
      <c r="HAM126" s="223"/>
      <c r="HAN126" s="225"/>
      <c r="HAO126" s="220"/>
      <c r="HAP126" s="221"/>
      <c r="HAQ126" s="222"/>
      <c r="HAR126" s="222"/>
      <c r="HAS126" s="223"/>
      <c r="HAT126" s="223"/>
      <c r="HAU126" s="224"/>
      <c r="HAV126" s="223"/>
      <c r="HAW126" s="223"/>
      <c r="HAX126" s="223"/>
      <c r="HAY126" s="223"/>
      <c r="HAZ126" s="225"/>
      <c r="HBA126" s="220"/>
      <c r="HBB126" s="221"/>
      <c r="HBC126" s="222"/>
      <c r="HBD126" s="222"/>
      <c r="HBE126" s="223"/>
      <c r="HBF126" s="223"/>
      <c r="HBG126" s="224"/>
      <c r="HBH126" s="223"/>
      <c r="HBI126" s="223"/>
      <c r="HBJ126" s="223"/>
      <c r="HBK126" s="223"/>
      <c r="HBL126" s="225"/>
      <c r="HBM126" s="220"/>
      <c r="HBN126" s="221"/>
      <c r="HBO126" s="222"/>
      <c r="HBP126" s="222"/>
      <c r="HBQ126" s="223"/>
      <c r="HBR126" s="223"/>
      <c r="HBS126" s="224"/>
      <c r="HBT126" s="223"/>
      <c r="HBU126" s="223"/>
      <c r="HBV126" s="223"/>
      <c r="HBW126" s="223"/>
      <c r="HBX126" s="225"/>
      <c r="HBY126" s="220"/>
      <c r="HBZ126" s="221"/>
      <c r="HCA126" s="222"/>
      <c r="HCB126" s="222"/>
      <c r="HCC126" s="223"/>
      <c r="HCD126" s="223"/>
      <c r="HCE126" s="224"/>
      <c r="HCF126" s="223"/>
      <c r="HCG126" s="223"/>
      <c r="HCH126" s="223"/>
      <c r="HCI126" s="223"/>
      <c r="HCJ126" s="225"/>
      <c r="HCK126" s="220"/>
      <c r="HCL126" s="221"/>
      <c r="HCM126" s="222"/>
      <c r="HCN126" s="222"/>
      <c r="HCO126" s="223"/>
      <c r="HCP126" s="223"/>
      <c r="HCQ126" s="224"/>
      <c r="HCR126" s="223"/>
      <c r="HCS126" s="223"/>
      <c r="HCT126" s="223"/>
      <c r="HCU126" s="223"/>
      <c r="HCV126" s="225"/>
      <c r="HCW126" s="220"/>
      <c r="HCX126" s="221"/>
      <c r="HCY126" s="222"/>
      <c r="HCZ126" s="222"/>
      <c r="HDA126" s="223"/>
      <c r="HDB126" s="223"/>
      <c r="HDC126" s="224"/>
      <c r="HDD126" s="223"/>
      <c r="HDE126" s="223"/>
      <c r="HDF126" s="223"/>
      <c r="HDG126" s="223"/>
      <c r="HDH126" s="225"/>
      <c r="HDI126" s="220"/>
      <c r="HDJ126" s="221"/>
      <c r="HDK126" s="222"/>
      <c r="HDL126" s="222"/>
      <c r="HDM126" s="223"/>
      <c r="HDN126" s="223"/>
      <c r="HDO126" s="224"/>
      <c r="HDP126" s="223"/>
      <c r="HDQ126" s="223"/>
      <c r="HDR126" s="223"/>
      <c r="HDS126" s="223"/>
      <c r="HDT126" s="225"/>
      <c r="HDU126" s="220"/>
      <c r="HDV126" s="221"/>
      <c r="HDW126" s="222"/>
      <c r="HDX126" s="222"/>
      <c r="HDY126" s="223"/>
      <c r="HDZ126" s="223"/>
      <c r="HEA126" s="224"/>
      <c r="HEB126" s="223"/>
      <c r="HEC126" s="223"/>
      <c r="HED126" s="223"/>
      <c r="HEE126" s="223"/>
      <c r="HEF126" s="225"/>
      <c r="HEG126" s="220"/>
      <c r="HEH126" s="221"/>
      <c r="HEI126" s="222"/>
      <c r="HEJ126" s="222"/>
      <c r="HEK126" s="223"/>
      <c r="HEL126" s="223"/>
      <c r="HEM126" s="224"/>
      <c r="HEN126" s="223"/>
      <c r="HEO126" s="223"/>
      <c r="HEP126" s="223"/>
      <c r="HEQ126" s="223"/>
      <c r="HER126" s="225"/>
      <c r="HES126" s="220"/>
      <c r="HET126" s="221"/>
      <c r="HEU126" s="222"/>
      <c r="HEV126" s="222"/>
      <c r="HEW126" s="223"/>
      <c r="HEX126" s="223"/>
      <c r="HEY126" s="224"/>
      <c r="HEZ126" s="223"/>
      <c r="HFA126" s="223"/>
      <c r="HFB126" s="223"/>
      <c r="HFC126" s="223"/>
      <c r="HFD126" s="225"/>
      <c r="HFE126" s="220"/>
      <c r="HFF126" s="221"/>
      <c r="HFG126" s="222"/>
      <c r="HFH126" s="222"/>
      <c r="HFI126" s="223"/>
      <c r="HFJ126" s="223"/>
      <c r="HFK126" s="224"/>
      <c r="HFL126" s="223"/>
      <c r="HFM126" s="223"/>
      <c r="HFN126" s="223"/>
      <c r="HFO126" s="223"/>
      <c r="HFP126" s="225"/>
      <c r="HFQ126" s="220"/>
      <c r="HFR126" s="221"/>
      <c r="HFS126" s="222"/>
      <c r="HFT126" s="222"/>
      <c r="HFU126" s="223"/>
      <c r="HFV126" s="223"/>
      <c r="HFW126" s="224"/>
      <c r="HFX126" s="223"/>
      <c r="HFY126" s="223"/>
      <c r="HFZ126" s="223"/>
      <c r="HGA126" s="223"/>
      <c r="HGB126" s="225"/>
      <c r="HGC126" s="220"/>
      <c r="HGD126" s="221"/>
      <c r="HGE126" s="222"/>
      <c r="HGF126" s="222"/>
      <c r="HGG126" s="223"/>
      <c r="HGH126" s="223"/>
      <c r="HGI126" s="224"/>
      <c r="HGJ126" s="223"/>
      <c r="HGK126" s="223"/>
      <c r="HGL126" s="223"/>
      <c r="HGM126" s="223"/>
      <c r="HGN126" s="225"/>
      <c r="HGO126" s="220"/>
      <c r="HGP126" s="221"/>
      <c r="HGQ126" s="222"/>
      <c r="HGR126" s="222"/>
      <c r="HGS126" s="223"/>
      <c r="HGT126" s="223"/>
      <c r="HGU126" s="224"/>
      <c r="HGV126" s="223"/>
      <c r="HGW126" s="223"/>
      <c r="HGX126" s="223"/>
      <c r="HGY126" s="223"/>
      <c r="HGZ126" s="225"/>
      <c r="HHA126" s="220"/>
      <c r="HHB126" s="221"/>
      <c r="HHC126" s="222"/>
      <c r="HHD126" s="222"/>
      <c r="HHE126" s="223"/>
      <c r="HHF126" s="223"/>
      <c r="HHG126" s="224"/>
      <c r="HHH126" s="223"/>
      <c r="HHI126" s="223"/>
      <c r="HHJ126" s="223"/>
      <c r="HHK126" s="223"/>
      <c r="HHL126" s="225"/>
      <c r="HHM126" s="220"/>
      <c r="HHN126" s="221"/>
      <c r="HHO126" s="222"/>
      <c r="HHP126" s="222"/>
      <c r="HHQ126" s="223"/>
      <c r="HHR126" s="223"/>
      <c r="HHS126" s="224"/>
      <c r="HHT126" s="223"/>
      <c r="HHU126" s="223"/>
      <c r="HHV126" s="223"/>
      <c r="HHW126" s="223"/>
      <c r="HHX126" s="225"/>
      <c r="HHY126" s="220"/>
      <c r="HHZ126" s="221"/>
      <c r="HIA126" s="222"/>
      <c r="HIB126" s="222"/>
      <c r="HIC126" s="223"/>
      <c r="HID126" s="223"/>
      <c r="HIE126" s="224"/>
      <c r="HIF126" s="223"/>
      <c r="HIG126" s="223"/>
      <c r="HIH126" s="223"/>
      <c r="HII126" s="223"/>
      <c r="HIJ126" s="225"/>
      <c r="HIK126" s="220"/>
      <c r="HIL126" s="221"/>
      <c r="HIM126" s="222"/>
      <c r="HIN126" s="222"/>
      <c r="HIO126" s="223"/>
      <c r="HIP126" s="223"/>
      <c r="HIQ126" s="224"/>
      <c r="HIR126" s="223"/>
      <c r="HIS126" s="223"/>
      <c r="HIT126" s="223"/>
      <c r="HIU126" s="223"/>
      <c r="HIV126" s="225"/>
      <c r="HIW126" s="220"/>
      <c r="HIX126" s="221"/>
      <c r="HIY126" s="222"/>
      <c r="HIZ126" s="222"/>
      <c r="HJA126" s="223"/>
      <c r="HJB126" s="223"/>
      <c r="HJC126" s="224"/>
      <c r="HJD126" s="223"/>
      <c r="HJE126" s="223"/>
      <c r="HJF126" s="223"/>
      <c r="HJG126" s="223"/>
      <c r="HJH126" s="225"/>
      <c r="HJI126" s="220"/>
      <c r="HJJ126" s="221"/>
      <c r="HJK126" s="222"/>
      <c r="HJL126" s="222"/>
      <c r="HJM126" s="223"/>
      <c r="HJN126" s="223"/>
      <c r="HJO126" s="224"/>
      <c r="HJP126" s="223"/>
      <c r="HJQ126" s="223"/>
      <c r="HJR126" s="223"/>
      <c r="HJS126" s="223"/>
      <c r="HJT126" s="225"/>
      <c r="HJU126" s="220"/>
      <c r="HJV126" s="221"/>
      <c r="HJW126" s="222"/>
      <c r="HJX126" s="222"/>
      <c r="HJY126" s="223"/>
      <c r="HJZ126" s="223"/>
      <c r="HKA126" s="224"/>
      <c r="HKB126" s="223"/>
      <c r="HKC126" s="223"/>
      <c r="HKD126" s="223"/>
      <c r="HKE126" s="223"/>
      <c r="HKF126" s="225"/>
      <c r="HKG126" s="220"/>
      <c r="HKH126" s="221"/>
      <c r="HKI126" s="222"/>
      <c r="HKJ126" s="222"/>
      <c r="HKK126" s="223"/>
      <c r="HKL126" s="223"/>
      <c r="HKM126" s="224"/>
      <c r="HKN126" s="223"/>
      <c r="HKO126" s="223"/>
      <c r="HKP126" s="223"/>
      <c r="HKQ126" s="223"/>
      <c r="HKR126" s="225"/>
      <c r="HKS126" s="220"/>
      <c r="HKT126" s="221"/>
      <c r="HKU126" s="222"/>
      <c r="HKV126" s="222"/>
      <c r="HKW126" s="223"/>
      <c r="HKX126" s="223"/>
      <c r="HKY126" s="224"/>
      <c r="HKZ126" s="223"/>
      <c r="HLA126" s="223"/>
      <c r="HLB126" s="223"/>
      <c r="HLC126" s="223"/>
      <c r="HLD126" s="225"/>
      <c r="HLE126" s="220"/>
      <c r="HLF126" s="221"/>
      <c r="HLG126" s="222"/>
      <c r="HLH126" s="222"/>
      <c r="HLI126" s="223"/>
      <c r="HLJ126" s="223"/>
      <c r="HLK126" s="224"/>
      <c r="HLL126" s="223"/>
      <c r="HLM126" s="223"/>
      <c r="HLN126" s="223"/>
      <c r="HLO126" s="223"/>
      <c r="HLP126" s="225"/>
      <c r="HLQ126" s="220"/>
      <c r="HLR126" s="221"/>
      <c r="HLS126" s="222"/>
      <c r="HLT126" s="222"/>
      <c r="HLU126" s="223"/>
      <c r="HLV126" s="223"/>
      <c r="HLW126" s="224"/>
      <c r="HLX126" s="223"/>
      <c r="HLY126" s="223"/>
      <c r="HLZ126" s="223"/>
      <c r="HMA126" s="223"/>
      <c r="HMB126" s="225"/>
      <c r="HMC126" s="220"/>
      <c r="HMD126" s="221"/>
      <c r="HME126" s="222"/>
      <c r="HMF126" s="222"/>
      <c r="HMG126" s="223"/>
      <c r="HMH126" s="223"/>
      <c r="HMI126" s="224"/>
      <c r="HMJ126" s="223"/>
      <c r="HMK126" s="223"/>
      <c r="HML126" s="223"/>
      <c r="HMM126" s="223"/>
      <c r="HMN126" s="225"/>
      <c r="HMO126" s="220"/>
      <c r="HMP126" s="221"/>
      <c r="HMQ126" s="222"/>
      <c r="HMR126" s="222"/>
      <c r="HMS126" s="223"/>
      <c r="HMT126" s="223"/>
      <c r="HMU126" s="224"/>
      <c r="HMV126" s="223"/>
      <c r="HMW126" s="223"/>
      <c r="HMX126" s="223"/>
      <c r="HMY126" s="223"/>
      <c r="HMZ126" s="225"/>
      <c r="HNA126" s="220"/>
      <c r="HNB126" s="221"/>
      <c r="HNC126" s="222"/>
      <c r="HND126" s="222"/>
      <c r="HNE126" s="223"/>
      <c r="HNF126" s="223"/>
      <c r="HNG126" s="224"/>
      <c r="HNH126" s="223"/>
      <c r="HNI126" s="223"/>
      <c r="HNJ126" s="223"/>
      <c r="HNK126" s="223"/>
      <c r="HNL126" s="225"/>
      <c r="HNM126" s="220"/>
      <c r="HNN126" s="221"/>
      <c r="HNO126" s="222"/>
      <c r="HNP126" s="222"/>
      <c r="HNQ126" s="223"/>
      <c r="HNR126" s="223"/>
      <c r="HNS126" s="224"/>
      <c r="HNT126" s="223"/>
      <c r="HNU126" s="223"/>
      <c r="HNV126" s="223"/>
      <c r="HNW126" s="223"/>
      <c r="HNX126" s="225"/>
      <c r="HNY126" s="220"/>
      <c r="HNZ126" s="221"/>
      <c r="HOA126" s="222"/>
      <c r="HOB126" s="222"/>
      <c r="HOC126" s="223"/>
      <c r="HOD126" s="223"/>
      <c r="HOE126" s="224"/>
      <c r="HOF126" s="223"/>
      <c r="HOG126" s="223"/>
      <c r="HOH126" s="223"/>
      <c r="HOI126" s="223"/>
      <c r="HOJ126" s="225"/>
      <c r="HOK126" s="220"/>
      <c r="HOL126" s="221"/>
      <c r="HOM126" s="222"/>
      <c r="HON126" s="222"/>
      <c r="HOO126" s="223"/>
      <c r="HOP126" s="223"/>
      <c r="HOQ126" s="224"/>
      <c r="HOR126" s="223"/>
      <c r="HOS126" s="223"/>
      <c r="HOT126" s="223"/>
      <c r="HOU126" s="223"/>
      <c r="HOV126" s="225"/>
      <c r="HOW126" s="220"/>
      <c r="HOX126" s="221"/>
      <c r="HOY126" s="222"/>
      <c r="HOZ126" s="222"/>
      <c r="HPA126" s="223"/>
      <c r="HPB126" s="223"/>
      <c r="HPC126" s="224"/>
      <c r="HPD126" s="223"/>
      <c r="HPE126" s="223"/>
      <c r="HPF126" s="223"/>
      <c r="HPG126" s="223"/>
      <c r="HPH126" s="225"/>
      <c r="HPI126" s="220"/>
      <c r="HPJ126" s="221"/>
      <c r="HPK126" s="222"/>
      <c r="HPL126" s="222"/>
      <c r="HPM126" s="223"/>
      <c r="HPN126" s="223"/>
      <c r="HPO126" s="224"/>
      <c r="HPP126" s="223"/>
      <c r="HPQ126" s="223"/>
      <c r="HPR126" s="223"/>
      <c r="HPS126" s="223"/>
      <c r="HPT126" s="225"/>
      <c r="HPU126" s="220"/>
      <c r="HPV126" s="221"/>
      <c r="HPW126" s="222"/>
      <c r="HPX126" s="222"/>
      <c r="HPY126" s="223"/>
      <c r="HPZ126" s="223"/>
      <c r="HQA126" s="224"/>
      <c r="HQB126" s="223"/>
      <c r="HQC126" s="223"/>
      <c r="HQD126" s="223"/>
      <c r="HQE126" s="223"/>
      <c r="HQF126" s="225"/>
      <c r="HQG126" s="220"/>
      <c r="HQH126" s="221"/>
      <c r="HQI126" s="222"/>
      <c r="HQJ126" s="222"/>
      <c r="HQK126" s="223"/>
      <c r="HQL126" s="223"/>
      <c r="HQM126" s="224"/>
      <c r="HQN126" s="223"/>
      <c r="HQO126" s="223"/>
      <c r="HQP126" s="223"/>
      <c r="HQQ126" s="223"/>
      <c r="HQR126" s="225"/>
      <c r="HQS126" s="220"/>
      <c r="HQT126" s="221"/>
      <c r="HQU126" s="222"/>
      <c r="HQV126" s="222"/>
      <c r="HQW126" s="223"/>
      <c r="HQX126" s="223"/>
      <c r="HQY126" s="224"/>
      <c r="HQZ126" s="223"/>
      <c r="HRA126" s="223"/>
      <c r="HRB126" s="223"/>
      <c r="HRC126" s="223"/>
      <c r="HRD126" s="225"/>
      <c r="HRE126" s="220"/>
      <c r="HRF126" s="221"/>
      <c r="HRG126" s="222"/>
      <c r="HRH126" s="222"/>
      <c r="HRI126" s="223"/>
      <c r="HRJ126" s="223"/>
      <c r="HRK126" s="224"/>
      <c r="HRL126" s="223"/>
      <c r="HRM126" s="223"/>
      <c r="HRN126" s="223"/>
      <c r="HRO126" s="223"/>
      <c r="HRP126" s="225"/>
      <c r="HRQ126" s="220"/>
      <c r="HRR126" s="221"/>
      <c r="HRS126" s="222"/>
      <c r="HRT126" s="222"/>
      <c r="HRU126" s="223"/>
      <c r="HRV126" s="223"/>
      <c r="HRW126" s="224"/>
      <c r="HRX126" s="223"/>
      <c r="HRY126" s="223"/>
      <c r="HRZ126" s="223"/>
      <c r="HSA126" s="223"/>
      <c r="HSB126" s="225"/>
      <c r="HSC126" s="220"/>
      <c r="HSD126" s="221"/>
      <c r="HSE126" s="222"/>
      <c r="HSF126" s="222"/>
      <c r="HSG126" s="223"/>
      <c r="HSH126" s="223"/>
      <c r="HSI126" s="224"/>
      <c r="HSJ126" s="223"/>
      <c r="HSK126" s="223"/>
      <c r="HSL126" s="223"/>
      <c r="HSM126" s="223"/>
      <c r="HSN126" s="225"/>
      <c r="HSO126" s="220"/>
      <c r="HSP126" s="221"/>
      <c r="HSQ126" s="222"/>
      <c r="HSR126" s="222"/>
      <c r="HSS126" s="223"/>
      <c r="HST126" s="223"/>
      <c r="HSU126" s="224"/>
      <c r="HSV126" s="223"/>
      <c r="HSW126" s="223"/>
      <c r="HSX126" s="223"/>
      <c r="HSY126" s="223"/>
      <c r="HSZ126" s="225"/>
      <c r="HTA126" s="220"/>
      <c r="HTB126" s="221"/>
      <c r="HTC126" s="222"/>
      <c r="HTD126" s="222"/>
      <c r="HTE126" s="223"/>
      <c r="HTF126" s="223"/>
      <c r="HTG126" s="224"/>
      <c r="HTH126" s="223"/>
      <c r="HTI126" s="223"/>
      <c r="HTJ126" s="223"/>
      <c r="HTK126" s="223"/>
      <c r="HTL126" s="225"/>
      <c r="HTM126" s="220"/>
      <c r="HTN126" s="221"/>
      <c r="HTO126" s="222"/>
      <c r="HTP126" s="222"/>
      <c r="HTQ126" s="223"/>
      <c r="HTR126" s="223"/>
      <c r="HTS126" s="224"/>
      <c r="HTT126" s="223"/>
      <c r="HTU126" s="223"/>
      <c r="HTV126" s="223"/>
      <c r="HTW126" s="223"/>
      <c r="HTX126" s="225"/>
      <c r="HTY126" s="220"/>
      <c r="HTZ126" s="221"/>
      <c r="HUA126" s="222"/>
      <c r="HUB126" s="222"/>
      <c r="HUC126" s="223"/>
      <c r="HUD126" s="223"/>
      <c r="HUE126" s="224"/>
      <c r="HUF126" s="223"/>
      <c r="HUG126" s="223"/>
      <c r="HUH126" s="223"/>
      <c r="HUI126" s="223"/>
      <c r="HUJ126" s="225"/>
      <c r="HUK126" s="220"/>
      <c r="HUL126" s="221"/>
      <c r="HUM126" s="222"/>
      <c r="HUN126" s="222"/>
      <c r="HUO126" s="223"/>
      <c r="HUP126" s="223"/>
      <c r="HUQ126" s="224"/>
      <c r="HUR126" s="223"/>
      <c r="HUS126" s="223"/>
      <c r="HUT126" s="223"/>
      <c r="HUU126" s="223"/>
      <c r="HUV126" s="225"/>
      <c r="HUW126" s="220"/>
      <c r="HUX126" s="221"/>
      <c r="HUY126" s="222"/>
      <c r="HUZ126" s="222"/>
      <c r="HVA126" s="223"/>
      <c r="HVB126" s="223"/>
      <c r="HVC126" s="224"/>
      <c r="HVD126" s="223"/>
      <c r="HVE126" s="223"/>
      <c r="HVF126" s="223"/>
      <c r="HVG126" s="223"/>
      <c r="HVH126" s="225"/>
      <c r="HVI126" s="220"/>
      <c r="HVJ126" s="221"/>
      <c r="HVK126" s="222"/>
      <c r="HVL126" s="222"/>
      <c r="HVM126" s="223"/>
      <c r="HVN126" s="223"/>
      <c r="HVO126" s="224"/>
      <c r="HVP126" s="223"/>
      <c r="HVQ126" s="223"/>
      <c r="HVR126" s="223"/>
      <c r="HVS126" s="223"/>
      <c r="HVT126" s="225"/>
      <c r="HVU126" s="220"/>
      <c r="HVV126" s="221"/>
      <c r="HVW126" s="222"/>
      <c r="HVX126" s="222"/>
      <c r="HVY126" s="223"/>
      <c r="HVZ126" s="223"/>
      <c r="HWA126" s="224"/>
      <c r="HWB126" s="223"/>
      <c r="HWC126" s="223"/>
      <c r="HWD126" s="223"/>
      <c r="HWE126" s="223"/>
      <c r="HWF126" s="225"/>
      <c r="HWG126" s="220"/>
      <c r="HWH126" s="221"/>
      <c r="HWI126" s="222"/>
      <c r="HWJ126" s="222"/>
      <c r="HWK126" s="223"/>
      <c r="HWL126" s="223"/>
      <c r="HWM126" s="224"/>
      <c r="HWN126" s="223"/>
      <c r="HWO126" s="223"/>
      <c r="HWP126" s="223"/>
      <c r="HWQ126" s="223"/>
      <c r="HWR126" s="225"/>
      <c r="HWS126" s="220"/>
      <c r="HWT126" s="221"/>
      <c r="HWU126" s="222"/>
      <c r="HWV126" s="222"/>
      <c r="HWW126" s="223"/>
      <c r="HWX126" s="223"/>
      <c r="HWY126" s="224"/>
      <c r="HWZ126" s="223"/>
      <c r="HXA126" s="223"/>
      <c r="HXB126" s="223"/>
      <c r="HXC126" s="223"/>
      <c r="HXD126" s="225"/>
      <c r="HXE126" s="220"/>
      <c r="HXF126" s="221"/>
      <c r="HXG126" s="222"/>
      <c r="HXH126" s="222"/>
      <c r="HXI126" s="223"/>
      <c r="HXJ126" s="223"/>
      <c r="HXK126" s="224"/>
      <c r="HXL126" s="223"/>
      <c r="HXM126" s="223"/>
      <c r="HXN126" s="223"/>
      <c r="HXO126" s="223"/>
      <c r="HXP126" s="225"/>
      <c r="HXQ126" s="220"/>
      <c r="HXR126" s="221"/>
      <c r="HXS126" s="222"/>
      <c r="HXT126" s="222"/>
      <c r="HXU126" s="223"/>
      <c r="HXV126" s="223"/>
      <c r="HXW126" s="224"/>
      <c r="HXX126" s="223"/>
      <c r="HXY126" s="223"/>
      <c r="HXZ126" s="223"/>
      <c r="HYA126" s="223"/>
      <c r="HYB126" s="225"/>
      <c r="HYC126" s="220"/>
      <c r="HYD126" s="221"/>
      <c r="HYE126" s="222"/>
      <c r="HYF126" s="222"/>
      <c r="HYG126" s="223"/>
      <c r="HYH126" s="223"/>
      <c r="HYI126" s="224"/>
      <c r="HYJ126" s="223"/>
      <c r="HYK126" s="223"/>
      <c r="HYL126" s="223"/>
      <c r="HYM126" s="223"/>
      <c r="HYN126" s="225"/>
      <c r="HYO126" s="220"/>
      <c r="HYP126" s="221"/>
      <c r="HYQ126" s="222"/>
      <c r="HYR126" s="222"/>
      <c r="HYS126" s="223"/>
      <c r="HYT126" s="223"/>
      <c r="HYU126" s="224"/>
      <c r="HYV126" s="223"/>
      <c r="HYW126" s="223"/>
      <c r="HYX126" s="223"/>
      <c r="HYY126" s="223"/>
      <c r="HYZ126" s="225"/>
      <c r="HZA126" s="220"/>
      <c r="HZB126" s="221"/>
      <c r="HZC126" s="222"/>
      <c r="HZD126" s="222"/>
      <c r="HZE126" s="223"/>
      <c r="HZF126" s="223"/>
      <c r="HZG126" s="224"/>
      <c r="HZH126" s="223"/>
      <c r="HZI126" s="223"/>
      <c r="HZJ126" s="223"/>
      <c r="HZK126" s="223"/>
      <c r="HZL126" s="225"/>
      <c r="HZM126" s="220"/>
      <c r="HZN126" s="221"/>
      <c r="HZO126" s="222"/>
      <c r="HZP126" s="222"/>
      <c r="HZQ126" s="223"/>
      <c r="HZR126" s="223"/>
      <c r="HZS126" s="224"/>
      <c r="HZT126" s="223"/>
      <c r="HZU126" s="223"/>
      <c r="HZV126" s="223"/>
      <c r="HZW126" s="223"/>
      <c r="HZX126" s="225"/>
      <c r="HZY126" s="220"/>
      <c r="HZZ126" s="221"/>
      <c r="IAA126" s="222"/>
      <c r="IAB126" s="222"/>
      <c r="IAC126" s="223"/>
      <c r="IAD126" s="223"/>
      <c r="IAE126" s="224"/>
      <c r="IAF126" s="223"/>
      <c r="IAG126" s="223"/>
      <c r="IAH126" s="223"/>
      <c r="IAI126" s="223"/>
      <c r="IAJ126" s="225"/>
      <c r="IAK126" s="220"/>
      <c r="IAL126" s="221"/>
      <c r="IAM126" s="222"/>
      <c r="IAN126" s="222"/>
      <c r="IAO126" s="223"/>
      <c r="IAP126" s="223"/>
      <c r="IAQ126" s="224"/>
      <c r="IAR126" s="223"/>
      <c r="IAS126" s="223"/>
      <c r="IAT126" s="223"/>
      <c r="IAU126" s="223"/>
      <c r="IAV126" s="225"/>
      <c r="IAW126" s="220"/>
      <c r="IAX126" s="221"/>
      <c r="IAY126" s="222"/>
      <c r="IAZ126" s="222"/>
      <c r="IBA126" s="223"/>
      <c r="IBB126" s="223"/>
      <c r="IBC126" s="224"/>
      <c r="IBD126" s="223"/>
      <c r="IBE126" s="223"/>
      <c r="IBF126" s="223"/>
      <c r="IBG126" s="223"/>
      <c r="IBH126" s="225"/>
      <c r="IBI126" s="220"/>
      <c r="IBJ126" s="221"/>
      <c r="IBK126" s="222"/>
      <c r="IBL126" s="222"/>
      <c r="IBM126" s="223"/>
      <c r="IBN126" s="223"/>
      <c r="IBO126" s="224"/>
      <c r="IBP126" s="223"/>
      <c r="IBQ126" s="223"/>
      <c r="IBR126" s="223"/>
      <c r="IBS126" s="223"/>
      <c r="IBT126" s="225"/>
      <c r="IBU126" s="220"/>
      <c r="IBV126" s="221"/>
      <c r="IBW126" s="222"/>
      <c r="IBX126" s="222"/>
      <c r="IBY126" s="223"/>
      <c r="IBZ126" s="223"/>
      <c r="ICA126" s="224"/>
      <c r="ICB126" s="223"/>
      <c r="ICC126" s="223"/>
      <c r="ICD126" s="223"/>
      <c r="ICE126" s="223"/>
      <c r="ICF126" s="225"/>
      <c r="ICG126" s="220"/>
      <c r="ICH126" s="221"/>
      <c r="ICI126" s="222"/>
      <c r="ICJ126" s="222"/>
      <c r="ICK126" s="223"/>
      <c r="ICL126" s="223"/>
      <c r="ICM126" s="224"/>
      <c r="ICN126" s="223"/>
      <c r="ICO126" s="223"/>
      <c r="ICP126" s="223"/>
      <c r="ICQ126" s="223"/>
      <c r="ICR126" s="225"/>
      <c r="ICS126" s="220"/>
      <c r="ICT126" s="221"/>
      <c r="ICU126" s="222"/>
      <c r="ICV126" s="222"/>
      <c r="ICW126" s="223"/>
      <c r="ICX126" s="223"/>
      <c r="ICY126" s="224"/>
      <c r="ICZ126" s="223"/>
      <c r="IDA126" s="223"/>
      <c r="IDB126" s="223"/>
      <c r="IDC126" s="223"/>
      <c r="IDD126" s="225"/>
      <c r="IDE126" s="220"/>
      <c r="IDF126" s="221"/>
      <c r="IDG126" s="222"/>
      <c r="IDH126" s="222"/>
      <c r="IDI126" s="223"/>
      <c r="IDJ126" s="223"/>
      <c r="IDK126" s="224"/>
      <c r="IDL126" s="223"/>
      <c r="IDM126" s="223"/>
      <c r="IDN126" s="223"/>
      <c r="IDO126" s="223"/>
      <c r="IDP126" s="225"/>
      <c r="IDQ126" s="220"/>
      <c r="IDR126" s="221"/>
      <c r="IDS126" s="222"/>
      <c r="IDT126" s="222"/>
      <c r="IDU126" s="223"/>
      <c r="IDV126" s="223"/>
      <c r="IDW126" s="224"/>
      <c r="IDX126" s="223"/>
      <c r="IDY126" s="223"/>
      <c r="IDZ126" s="223"/>
      <c r="IEA126" s="223"/>
      <c r="IEB126" s="225"/>
      <c r="IEC126" s="220"/>
      <c r="IED126" s="221"/>
      <c r="IEE126" s="222"/>
      <c r="IEF126" s="222"/>
      <c r="IEG126" s="223"/>
      <c r="IEH126" s="223"/>
      <c r="IEI126" s="224"/>
      <c r="IEJ126" s="223"/>
      <c r="IEK126" s="223"/>
      <c r="IEL126" s="223"/>
      <c r="IEM126" s="223"/>
      <c r="IEN126" s="225"/>
      <c r="IEO126" s="220"/>
      <c r="IEP126" s="221"/>
      <c r="IEQ126" s="222"/>
      <c r="IER126" s="222"/>
      <c r="IES126" s="223"/>
      <c r="IET126" s="223"/>
      <c r="IEU126" s="224"/>
      <c r="IEV126" s="223"/>
      <c r="IEW126" s="223"/>
      <c r="IEX126" s="223"/>
      <c r="IEY126" s="223"/>
      <c r="IEZ126" s="225"/>
      <c r="IFA126" s="220"/>
      <c r="IFB126" s="221"/>
      <c r="IFC126" s="222"/>
      <c r="IFD126" s="222"/>
      <c r="IFE126" s="223"/>
      <c r="IFF126" s="223"/>
      <c r="IFG126" s="224"/>
      <c r="IFH126" s="223"/>
      <c r="IFI126" s="223"/>
      <c r="IFJ126" s="223"/>
      <c r="IFK126" s="223"/>
      <c r="IFL126" s="225"/>
      <c r="IFM126" s="220"/>
      <c r="IFN126" s="221"/>
      <c r="IFO126" s="222"/>
      <c r="IFP126" s="222"/>
      <c r="IFQ126" s="223"/>
      <c r="IFR126" s="223"/>
      <c r="IFS126" s="224"/>
      <c r="IFT126" s="223"/>
      <c r="IFU126" s="223"/>
      <c r="IFV126" s="223"/>
      <c r="IFW126" s="223"/>
      <c r="IFX126" s="225"/>
      <c r="IFY126" s="220"/>
      <c r="IFZ126" s="221"/>
      <c r="IGA126" s="222"/>
      <c r="IGB126" s="222"/>
      <c r="IGC126" s="223"/>
      <c r="IGD126" s="223"/>
      <c r="IGE126" s="224"/>
      <c r="IGF126" s="223"/>
      <c r="IGG126" s="223"/>
      <c r="IGH126" s="223"/>
      <c r="IGI126" s="223"/>
      <c r="IGJ126" s="225"/>
      <c r="IGK126" s="220"/>
      <c r="IGL126" s="221"/>
      <c r="IGM126" s="222"/>
      <c r="IGN126" s="222"/>
      <c r="IGO126" s="223"/>
      <c r="IGP126" s="223"/>
      <c r="IGQ126" s="224"/>
      <c r="IGR126" s="223"/>
      <c r="IGS126" s="223"/>
      <c r="IGT126" s="223"/>
      <c r="IGU126" s="223"/>
      <c r="IGV126" s="225"/>
      <c r="IGW126" s="220"/>
      <c r="IGX126" s="221"/>
      <c r="IGY126" s="222"/>
      <c r="IGZ126" s="222"/>
      <c r="IHA126" s="223"/>
      <c r="IHB126" s="223"/>
      <c r="IHC126" s="224"/>
      <c r="IHD126" s="223"/>
      <c r="IHE126" s="223"/>
      <c r="IHF126" s="223"/>
      <c r="IHG126" s="223"/>
      <c r="IHH126" s="225"/>
      <c r="IHI126" s="220"/>
      <c r="IHJ126" s="221"/>
      <c r="IHK126" s="222"/>
      <c r="IHL126" s="222"/>
      <c r="IHM126" s="223"/>
      <c r="IHN126" s="223"/>
      <c r="IHO126" s="224"/>
      <c r="IHP126" s="223"/>
      <c r="IHQ126" s="223"/>
      <c r="IHR126" s="223"/>
      <c r="IHS126" s="223"/>
      <c r="IHT126" s="225"/>
      <c r="IHU126" s="220"/>
      <c r="IHV126" s="221"/>
      <c r="IHW126" s="222"/>
      <c r="IHX126" s="222"/>
      <c r="IHY126" s="223"/>
      <c r="IHZ126" s="223"/>
      <c r="IIA126" s="224"/>
      <c r="IIB126" s="223"/>
      <c r="IIC126" s="223"/>
      <c r="IID126" s="223"/>
      <c r="IIE126" s="223"/>
      <c r="IIF126" s="225"/>
      <c r="IIG126" s="220"/>
      <c r="IIH126" s="221"/>
      <c r="III126" s="222"/>
      <c r="IIJ126" s="222"/>
      <c r="IIK126" s="223"/>
      <c r="IIL126" s="223"/>
      <c r="IIM126" s="224"/>
      <c r="IIN126" s="223"/>
      <c r="IIO126" s="223"/>
      <c r="IIP126" s="223"/>
      <c r="IIQ126" s="223"/>
      <c r="IIR126" s="225"/>
      <c r="IIS126" s="220"/>
      <c r="IIT126" s="221"/>
      <c r="IIU126" s="222"/>
      <c r="IIV126" s="222"/>
      <c r="IIW126" s="223"/>
      <c r="IIX126" s="223"/>
      <c r="IIY126" s="224"/>
      <c r="IIZ126" s="223"/>
      <c r="IJA126" s="223"/>
      <c r="IJB126" s="223"/>
      <c r="IJC126" s="223"/>
      <c r="IJD126" s="225"/>
      <c r="IJE126" s="220"/>
      <c r="IJF126" s="221"/>
      <c r="IJG126" s="222"/>
      <c r="IJH126" s="222"/>
      <c r="IJI126" s="223"/>
      <c r="IJJ126" s="223"/>
      <c r="IJK126" s="224"/>
      <c r="IJL126" s="223"/>
      <c r="IJM126" s="223"/>
      <c r="IJN126" s="223"/>
      <c r="IJO126" s="223"/>
      <c r="IJP126" s="225"/>
      <c r="IJQ126" s="220"/>
      <c r="IJR126" s="221"/>
      <c r="IJS126" s="222"/>
      <c r="IJT126" s="222"/>
      <c r="IJU126" s="223"/>
      <c r="IJV126" s="223"/>
      <c r="IJW126" s="224"/>
      <c r="IJX126" s="223"/>
      <c r="IJY126" s="223"/>
      <c r="IJZ126" s="223"/>
      <c r="IKA126" s="223"/>
      <c r="IKB126" s="225"/>
      <c r="IKC126" s="220"/>
      <c r="IKD126" s="221"/>
      <c r="IKE126" s="222"/>
      <c r="IKF126" s="222"/>
      <c r="IKG126" s="223"/>
      <c r="IKH126" s="223"/>
      <c r="IKI126" s="224"/>
      <c r="IKJ126" s="223"/>
      <c r="IKK126" s="223"/>
      <c r="IKL126" s="223"/>
      <c r="IKM126" s="223"/>
      <c r="IKN126" s="225"/>
      <c r="IKO126" s="220"/>
      <c r="IKP126" s="221"/>
      <c r="IKQ126" s="222"/>
      <c r="IKR126" s="222"/>
      <c r="IKS126" s="223"/>
      <c r="IKT126" s="223"/>
      <c r="IKU126" s="224"/>
      <c r="IKV126" s="223"/>
      <c r="IKW126" s="223"/>
      <c r="IKX126" s="223"/>
      <c r="IKY126" s="223"/>
      <c r="IKZ126" s="225"/>
      <c r="ILA126" s="220"/>
      <c r="ILB126" s="221"/>
      <c r="ILC126" s="222"/>
      <c r="ILD126" s="222"/>
      <c r="ILE126" s="223"/>
      <c r="ILF126" s="223"/>
      <c r="ILG126" s="224"/>
      <c r="ILH126" s="223"/>
      <c r="ILI126" s="223"/>
      <c r="ILJ126" s="223"/>
      <c r="ILK126" s="223"/>
      <c r="ILL126" s="225"/>
      <c r="ILM126" s="220"/>
      <c r="ILN126" s="221"/>
      <c r="ILO126" s="222"/>
      <c r="ILP126" s="222"/>
      <c r="ILQ126" s="223"/>
      <c r="ILR126" s="223"/>
      <c r="ILS126" s="224"/>
      <c r="ILT126" s="223"/>
      <c r="ILU126" s="223"/>
      <c r="ILV126" s="223"/>
      <c r="ILW126" s="223"/>
      <c r="ILX126" s="225"/>
      <c r="ILY126" s="220"/>
      <c r="ILZ126" s="221"/>
      <c r="IMA126" s="222"/>
      <c r="IMB126" s="222"/>
      <c r="IMC126" s="223"/>
      <c r="IMD126" s="223"/>
      <c r="IME126" s="224"/>
      <c r="IMF126" s="223"/>
      <c r="IMG126" s="223"/>
      <c r="IMH126" s="223"/>
      <c r="IMI126" s="223"/>
      <c r="IMJ126" s="225"/>
      <c r="IMK126" s="220"/>
      <c r="IML126" s="221"/>
      <c r="IMM126" s="222"/>
      <c r="IMN126" s="222"/>
      <c r="IMO126" s="223"/>
      <c r="IMP126" s="223"/>
      <c r="IMQ126" s="224"/>
      <c r="IMR126" s="223"/>
      <c r="IMS126" s="223"/>
      <c r="IMT126" s="223"/>
      <c r="IMU126" s="223"/>
      <c r="IMV126" s="225"/>
      <c r="IMW126" s="220"/>
      <c r="IMX126" s="221"/>
      <c r="IMY126" s="222"/>
      <c r="IMZ126" s="222"/>
      <c r="INA126" s="223"/>
      <c r="INB126" s="223"/>
      <c r="INC126" s="224"/>
      <c r="IND126" s="223"/>
      <c r="INE126" s="223"/>
      <c r="INF126" s="223"/>
      <c r="ING126" s="223"/>
      <c r="INH126" s="225"/>
      <c r="INI126" s="220"/>
      <c r="INJ126" s="221"/>
      <c r="INK126" s="222"/>
      <c r="INL126" s="222"/>
      <c r="INM126" s="223"/>
      <c r="INN126" s="223"/>
      <c r="INO126" s="224"/>
      <c r="INP126" s="223"/>
      <c r="INQ126" s="223"/>
      <c r="INR126" s="223"/>
      <c r="INS126" s="223"/>
      <c r="INT126" s="225"/>
      <c r="INU126" s="220"/>
      <c r="INV126" s="221"/>
      <c r="INW126" s="222"/>
      <c r="INX126" s="222"/>
      <c r="INY126" s="223"/>
      <c r="INZ126" s="223"/>
      <c r="IOA126" s="224"/>
      <c r="IOB126" s="223"/>
      <c r="IOC126" s="223"/>
      <c r="IOD126" s="223"/>
      <c r="IOE126" s="223"/>
      <c r="IOF126" s="225"/>
      <c r="IOG126" s="220"/>
      <c r="IOH126" s="221"/>
      <c r="IOI126" s="222"/>
      <c r="IOJ126" s="222"/>
      <c r="IOK126" s="223"/>
      <c r="IOL126" s="223"/>
      <c r="IOM126" s="224"/>
      <c r="ION126" s="223"/>
      <c r="IOO126" s="223"/>
      <c r="IOP126" s="223"/>
      <c r="IOQ126" s="223"/>
      <c r="IOR126" s="225"/>
      <c r="IOS126" s="220"/>
      <c r="IOT126" s="221"/>
      <c r="IOU126" s="222"/>
      <c r="IOV126" s="222"/>
      <c r="IOW126" s="223"/>
      <c r="IOX126" s="223"/>
      <c r="IOY126" s="224"/>
      <c r="IOZ126" s="223"/>
      <c r="IPA126" s="223"/>
      <c r="IPB126" s="223"/>
      <c r="IPC126" s="223"/>
      <c r="IPD126" s="225"/>
      <c r="IPE126" s="220"/>
      <c r="IPF126" s="221"/>
      <c r="IPG126" s="222"/>
      <c r="IPH126" s="222"/>
      <c r="IPI126" s="223"/>
      <c r="IPJ126" s="223"/>
      <c r="IPK126" s="224"/>
      <c r="IPL126" s="223"/>
      <c r="IPM126" s="223"/>
      <c r="IPN126" s="223"/>
      <c r="IPO126" s="223"/>
      <c r="IPP126" s="225"/>
      <c r="IPQ126" s="220"/>
      <c r="IPR126" s="221"/>
      <c r="IPS126" s="222"/>
      <c r="IPT126" s="222"/>
      <c r="IPU126" s="223"/>
      <c r="IPV126" s="223"/>
      <c r="IPW126" s="224"/>
      <c r="IPX126" s="223"/>
      <c r="IPY126" s="223"/>
      <c r="IPZ126" s="223"/>
      <c r="IQA126" s="223"/>
      <c r="IQB126" s="225"/>
      <c r="IQC126" s="220"/>
      <c r="IQD126" s="221"/>
      <c r="IQE126" s="222"/>
      <c r="IQF126" s="222"/>
      <c r="IQG126" s="223"/>
      <c r="IQH126" s="223"/>
      <c r="IQI126" s="224"/>
      <c r="IQJ126" s="223"/>
      <c r="IQK126" s="223"/>
      <c r="IQL126" s="223"/>
      <c r="IQM126" s="223"/>
      <c r="IQN126" s="225"/>
      <c r="IQO126" s="220"/>
      <c r="IQP126" s="221"/>
      <c r="IQQ126" s="222"/>
      <c r="IQR126" s="222"/>
      <c r="IQS126" s="223"/>
      <c r="IQT126" s="223"/>
      <c r="IQU126" s="224"/>
      <c r="IQV126" s="223"/>
      <c r="IQW126" s="223"/>
      <c r="IQX126" s="223"/>
      <c r="IQY126" s="223"/>
      <c r="IQZ126" s="225"/>
      <c r="IRA126" s="220"/>
      <c r="IRB126" s="221"/>
      <c r="IRC126" s="222"/>
      <c r="IRD126" s="222"/>
      <c r="IRE126" s="223"/>
      <c r="IRF126" s="223"/>
      <c r="IRG126" s="224"/>
      <c r="IRH126" s="223"/>
      <c r="IRI126" s="223"/>
      <c r="IRJ126" s="223"/>
      <c r="IRK126" s="223"/>
      <c r="IRL126" s="225"/>
      <c r="IRM126" s="220"/>
      <c r="IRN126" s="221"/>
      <c r="IRO126" s="222"/>
      <c r="IRP126" s="222"/>
      <c r="IRQ126" s="223"/>
      <c r="IRR126" s="223"/>
      <c r="IRS126" s="224"/>
      <c r="IRT126" s="223"/>
      <c r="IRU126" s="223"/>
      <c r="IRV126" s="223"/>
      <c r="IRW126" s="223"/>
      <c r="IRX126" s="225"/>
      <c r="IRY126" s="220"/>
      <c r="IRZ126" s="221"/>
      <c r="ISA126" s="222"/>
      <c r="ISB126" s="222"/>
      <c r="ISC126" s="223"/>
      <c r="ISD126" s="223"/>
      <c r="ISE126" s="224"/>
      <c r="ISF126" s="223"/>
      <c r="ISG126" s="223"/>
      <c r="ISH126" s="223"/>
      <c r="ISI126" s="223"/>
      <c r="ISJ126" s="225"/>
      <c r="ISK126" s="220"/>
      <c r="ISL126" s="221"/>
      <c r="ISM126" s="222"/>
      <c r="ISN126" s="222"/>
      <c r="ISO126" s="223"/>
      <c r="ISP126" s="223"/>
      <c r="ISQ126" s="224"/>
      <c r="ISR126" s="223"/>
      <c r="ISS126" s="223"/>
      <c r="IST126" s="223"/>
      <c r="ISU126" s="223"/>
      <c r="ISV126" s="225"/>
      <c r="ISW126" s="220"/>
      <c r="ISX126" s="221"/>
      <c r="ISY126" s="222"/>
      <c r="ISZ126" s="222"/>
      <c r="ITA126" s="223"/>
      <c r="ITB126" s="223"/>
      <c r="ITC126" s="224"/>
      <c r="ITD126" s="223"/>
      <c r="ITE126" s="223"/>
      <c r="ITF126" s="223"/>
      <c r="ITG126" s="223"/>
      <c r="ITH126" s="225"/>
      <c r="ITI126" s="220"/>
      <c r="ITJ126" s="221"/>
      <c r="ITK126" s="222"/>
      <c r="ITL126" s="222"/>
      <c r="ITM126" s="223"/>
      <c r="ITN126" s="223"/>
      <c r="ITO126" s="224"/>
      <c r="ITP126" s="223"/>
      <c r="ITQ126" s="223"/>
      <c r="ITR126" s="223"/>
      <c r="ITS126" s="223"/>
      <c r="ITT126" s="225"/>
      <c r="ITU126" s="220"/>
      <c r="ITV126" s="221"/>
      <c r="ITW126" s="222"/>
      <c r="ITX126" s="222"/>
      <c r="ITY126" s="223"/>
      <c r="ITZ126" s="223"/>
      <c r="IUA126" s="224"/>
      <c r="IUB126" s="223"/>
      <c r="IUC126" s="223"/>
      <c r="IUD126" s="223"/>
      <c r="IUE126" s="223"/>
      <c r="IUF126" s="225"/>
      <c r="IUG126" s="220"/>
      <c r="IUH126" s="221"/>
      <c r="IUI126" s="222"/>
      <c r="IUJ126" s="222"/>
      <c r="IUK126" s="223"/>
      <c r="IUL126" s="223"/>
      <c r="IUM126" s="224"/>
      <c r="IUN126" s="223"/>
      <c r="IUO126" s="223"/>
      <c r="IUP126" s="223"/>
      <c r="IUQ126" s="223"/>
      <c r="IUR126" s="225"/>
      <c r="IUS126" s="220"/>
      <c r="IUT126" s="221"/>
      <c r="IUU126" s="222"/>
      <c r="IUV126" s="222"/>
      <c r="IUW126" s="223"/>
      <c r="IUX126" s="223"/>
      <c r="IUY126" s="224"/>
      <c r="IUZ126" s="223"/>
      <c r="IVA126" s="223"/>
      <c r="IVB126" s="223"/>
      <c r="IVC126" s="223"/>
      <c r="IVD126" s="225"/>
      <c r="IVE126" s="220"/>
      <c r="IVF126" s="221"/>
      <c r="IVG126" s="222"/>
      <c r="IVH126" s="222"/>
      <c r="IVI126" s="223"/>
      <c r="IVJ126" s="223"/>
      <c r="IVK126" s="224"/>
      <c r="IVL126" s="223"/>
      <c r="IVM126" s="223"/>
      <c r="IVN126" s="223"/>
      <c r="IVO126" s="223"/>
      <c r="IVP126" s="225"/>
      <c r="IVQ126" s="220"/>
      <c r="IVR126" s="221"/>
      <c r="IVS126" s="222"/>
      <c r="IVT126" s="222"/>
      <c r="IVU126" s="223"/>
      <c r="IVV126" s="223"/>
      <c r="IVW126" s="224"/>
      <c r="IVX126" s="223"/>
      <c r="IVY126" s="223"/>
      <c r="IVZ126" s="223"/>
      <c r="IWA126" s="223"/>
      <c r="IWB126" s="225"/>
      <c r="IWC126" s="220"/>
      <c r="IWD126" s="221"/>
      <c r="IWE126" s="222"/>
      <c r="IWF126" s="222"/>
      <c r="IWG126" s="223"/>
      <c r="IWH126" s="223"/>
      <c r="IWI126" s="224"/>
      <c r="IWJ126" s="223"/>
      <c r="IWK126" s="223"/>
      <c r="IWL126" s="223"/>
      <c r="IWM126" s="223"/>
      <c r="IWN126" s="225"/>
      <c r="IWO126" s="220"/>
      <c r="IWP126" s="221"/>
      <c r="IWQ126" s="222"/>
      <c r="IWR126" s="222"/>
      <c r="IWS126" s="223"/>
      <c r="IWT126" s="223"/>
      <c r="IWU126" s="224"/>
      <c r="IWV126" s="223"/>
      <c r="IWW126" s="223"/>
      <c r="IWX126" s="223"/>
      <c r="IWY126" s="223"/>
      <c r="IWZ126" s="225"/>
      <c r="IXA126" s="220"/>
      <c r="IXB126" s="221"/>
      <c r="IXC126" s="222"/>
      <c r="IXD126" s="222"/>
      <c r="IXE126" s="223"/>
      <c r="IXF126" s="223"/>
      <c r="IXG126" s="224"/>
      <c r="IXH126" s="223"/>
      <c r="IXI126" s="223"/>
      <c r="IXJ126" s="223"/>
      <c r="IXK126" s="223"/>
      <c r="IXL126" s="225"/>
      <c r="IXM126" s="220"/>
      <c r="IXN126" s="221"/>
      <c r="IXO126" s="222"/>
      <c r="IXP126" s="222"/>
      <c r="IXQ126" s="223"/>
      <c r="IXR126" s="223"/>
      <c r="IXS126" s="224"/>
      <c r="IXT126" s="223"/>
      <c r="IXU126" s="223"/>
      <c r="IXV126" s="223"/>
      <c r="IXW126" s="223"/>
      <c r="IXX126" s="225"/>
      <c r="IXY126" s="220"/>
      <c r="IXZ126" s="221"/>
      <c r="IYA126" s="222"/>
      <c r="IYB126" s="222"/>
      <c r="IYC126" s="223"/>
      <c r="IYD126" s="223"/>
      <c r="IYE126" s="224"/>
      <c r="IYF126" s="223"/>
      <c r="IYG126" s="223"/>
      <c r="IYH126" s="223"/>
      <c r="IYI126" s="223"/>
      <c r="IYJ126" s="225"/>
      <c r="IYK126" s="220"/>
      <c r="IYL126" s="221"/>
      <c r="IYM126" s="222"/>
      <c r="IYN126" s="222"/>
      <c r="IYO126" s="223"/>
      <c r="IYP126" s="223"/>
      <c r="IYQ126" s="224"/>
      <c r="IYR126" s="223"/>
      <c r="IYS126" s="223"/>
      <c r="IYT126" s="223"/>
      <c r="IYU126" s="223"/>
      <c r="IYV126" s="225"/>
      <c r="IYW126" s="220"/>
      <c r="IYX126" s="221"/>
      <c r="IYY126" s="222"/>
      <c r="IYZ126" s="222"/>
      <c r="IZA126" s="223"/>
      <c r="IZB126" s="223"/>
      <c r="IZC126" s="224"/>
      <c r="IZD126" s="223"/>
      <c r="IZE126" s="223"/>
      <c r="IZF126" s="223"/>
      <c r="IZG126" s="223"/>
      <c r="IZH126" s="225"/>
      <c r="IZI126" s="220"/>
      <c r="IZJ126" s="221"/>
      <c r="IZK126" s="222"/>
      <c r="IZL126" s="222"/>
      <c r="IZM126" s="223"/>
      <c r="IZN126" s="223"/>
      <c r="IZO126" s="224"/>
      <c r="IZP126" s="223"/>
      <c r="IZQ126" s="223"/>
      <c r="IZR126" s="223"/>
      <c r="IZS126" s="223"/>
      <c r="IZT126" s="225"/>
      <c r="IZU126" s="220"/>
      <c r="IZV126" s="221"/>
      <c r="IZW126" s="222"/>
      <c r="IZX126" s="222"/>
      <c r="IZY126" s="223"/>
      <c r="IZZ126" s="223"/>
      <c r="JAA126" s="224"/>
      <c r="JAB126" s="223"/>
      <c r="JAC126" s="223"/>
      <c r="JAD126" s="223"/>
      <c r="JAE126" s="223"/>
      <c r="JAF126" s="225"/>
      <c r="JAG126" s="220"/>
      <c r="JAH126" s="221"/>
      <c r="JAI126" s="222"/>
      <c r="JAJ126" s="222"/>
      <c r="JAK126" s="223"/>
      <c r="JAL126" s="223"/>
      <c r="JAM126" s="224"/>
      <c r="JAN126" s="223"/>
      <c r="JAO126" s="223"/>
      <c r="JAP126" s="223"/>
      <c r="JAQ126" s="223"/>
      <c r="JAR126" s="225"/>
      <c r="JAS126" s="220"/>
      <c r="JAT126" s="221"/>
      <c r="JAU126" s="222"/>
      <c r="JAV126" s="222"/>
      <c r="JAW126" s="223"/>
      <c r="JAX126" s="223"/>
      <c r="JAY126" s="224"/>
      <c r="JAZ126" s="223"/>
      <c r="JBA126" s="223"/>
      <c r="JBB126" s="223"/>
      <c r="JBC126" s="223"/>
      <c r="JBD126" s="225"/>
      <c r="JBE126" s="220"/>
      <c r="JBF126" s="221"/>
      <c r="JBG126" s="222"/>
      <c r="JBH126" s="222"/>
      <c r="JBI126" s="223"/>
      <c r="JBJ126" s="223"/>
      <c r="JBK126" s="224"/>
      <c r="JBL126" s="223"/>
      <c r="JBM126" s="223"/>
      <c r="JBN126" s="223"/>
      <c r="JBO126" s="223"/>
      <c r="JBP126" s="225"/>
      <c r="JBQ126" s="220"/>
      <c r="JBR126" s="221"/>
      <c r="JBS126" s="222"/>
      <c r="JBT126" s="222"/>
      <c r="JBU126" s="223"/>
      <c r="JBV126" s="223"/>
      <c r="JBW126" s="224"/>
      <c r="JBX126" s="223"/>
      <c r="JBY126" s="223"/>
      <c r="JBZ126" s="223"/>
      <c r="JCA126" s="223"/>
      <c r="JCB126" s="225"/>
      <c r="JCC126" s="220"/>
      <c r="JCD126" s="221"/>
      <c r="JCE126" s="222"/>
      <c r="JCF126" s="222"/>
      <c r="JCG126" s="223"/>
      <c r="JCH126" s="223"/>
      <c r="JCI126" s="224"/>
      <c r="JCJ126" s="223"/>
      <c r="JCK126" s="223"/>
      <c r="JCL126" s="223"/>
      <c r="JCM126" s="223"/>
      <c r="JCN126" s="225"/>
      <c r="JCO126" s="220"/>
      <c r="JCP126" s="221"/>
      <c r="JCQ126" s="222"/>
      <c r="JCR126" s="222"/>
      <c r="JCS126" s="223"/>
      <c r="JCT126" s="223"/>
      <c r="JCU126" s="224"/>
      <c r="JCV126" s="223"/>
      <c r="JCW126" s="223"/>
      <c r="JCX126" s="223"/>
      <c r="JCY126" s="223"/>
      <c r="JCZ126" s="225"/>
      <c r="JDA126" s="220"/>
      <c r="JDB126" s="221"/>
      <c r="JDC126" s="222"/>
      <c r="JDD126" s="222"/>
      <c r="JDE126" s="223"/>
      <c r="JDF126" s="223"/>
      <c r="JDG126" s="224"/>
      <c r="JDH126" s="223"/>
      <c r="JDI126" s="223"/>
      <c r="JDJ126" s="223"/>
      <c r="JDK126" s="223"/>
      <c r="JDL126" s="225"/>
      <c r="JDM126" s="220"/>
      <c r="JDN126" s="221"/>
      <c r="JDO126" s="222"/>
      <c r="JDP126" s="222"/>
      <c r="JDQ126" s="223"/>
      <c r="JDR126" s="223"/>
      <c r="JDS126" s="224"/>
      <c r="JDT126" s="223"/>
      <c r="JDU126" s="223"/>
      <c r="JDV126" s="223"/>
      <c r="JDW126" s="223"/>
      <c r="JDX126" s="225"/>
      <c r="JDY126" s="220"/>
      <c r="JDZ126" s="221"/>
      <c r="JEA126" s="222"/>
      <c r="JEB126" s="222"/>
      <c r="JEC126" s="223"/>
      <c r="JED126" s="223"/>
      <c r="JEE126" s="224"/>
      <c r="JEF126" s="223"/>
      <c r="JEG126" s="223"/>
      <c r="JEH126" s="223"/>
      <c r="JEI126" s="223"/>
      <c r="JEJ126" s="225"/>
      <c r="JEK126" s="220"/>
      <c r="JEL126" s="221"/>
      <c r="JEM126" s="222"/>
      <c r="JEN126" s="222"/>
      <c r="JEO126" s="223"/>
      <c r="JEP126" s="223"/>
      <c r="JEQ126" s="224"/>
      <c r="JER126" s="223"/>
      <c r="JES126" s="223"/>
      <c r="JET126" s="223"/>
      <c r="JEU126" s="223"/>
      <c r="JEV126" s="225"/>
      <c r="JEW126" s="220"/>
      <c r="JEX126" s="221"/>
      <c r="JEY126" s="222"/>
      <c r="JEZ126" s="222"/>
      <c r="JFA126" s="223"/>
      <c r="JFB126" s="223"/>
      <c r="JFC126" s="224"/>
      <c r="JFD126" s="223"/>
      <c r="JFE126" s="223"/>
      <c r="JFF126" s="223"/>
      <c r="JFG126" s="223"/>
      <c r="JFH126" s="225"/>
      <c r="JFI126" s="220"/>
      <c r="JFJ126" s="221"/>
      <c r="JFK126" s="222"/>
      <c r="JFL126" s="222"/>
      <c r="JFM126" s="223"/>
      <c r="JFN126" s="223"/>
      <c r="JFO126" s="224"/>
      <c r="JFP126" s="223"/>
      <c r="JFQ126" s="223"/>
      <c r="JFR126" s="223"/>
      <c r="JFS126" s="223"/>
      <c r="JFT126" s="225"/>
      <c r="JFU126" s="220"/>
      <c r="JFV126" s="221"/>
      <c r="JFW126" s="222"/>
      <c r="JFX126" s="222"/>
      <c r="JFY126" s="223"/>
      <c r="JFZ126" s="223"/>
      <c r="JGA126" s="224"/>
      <c r="JGB126" s="223"/>
      <c r="JGC126" s="223"/>
      <c r="JGD126" s="223"/>
      <c r="JGE126" s="223"/>
      <c r="JGF126" s="225"/>
      <c r="JGG126" s="220"/>
      <c r="JGH126" s="221"/>
      <c r="JGI126" s="222"/>
      <c r="JGJ126" s="222"/>
      <c r="JGK126" s="223"/>
      <c r="JGL126" s="223"/>
      <c r="JGM126" s="224"/>
      <c r="JGN126" s="223"/>
      <c r="JGO126" s="223"/>
      <c r="JGP126" s="223"/>
      <c r="JGQ126" s="223"/>
      <c r="JGR126" s="225"/>
      <c r="JGS126" s="220"/>
      <c r="JGT126" s="221"/>
      <c r="JGU126" s="222"/>
      <c r="JGV126" s="222"/>
      <c r="JGW126" s="223"/>
      <c r="JGX126" s="223"/>
      <c r="JGY126" s="224"/>
      <c r="JGZ126" s="223"/>
      <c r="JHA126" s="223"/>
      <c r="JHB126" s="223"/>
      <c r="JHC126" s="223"/>
      <c r="JHD126" s="225"/>
      <c r="JHE126" s="220"/>
      <c r="JHF126" s="221"/>
      <c r="JHG126" s="222"/>
      <c r="JHH126" s="222"/>
      <c r="JHI126" s="223"/>
      <c r="JHJ126" s="223"/>
      <c r="JHK126" s="224"/>
      <c r="JHL126" s="223"/>
      <c r="JHM126" s="223"/>
      <c r="JHN126" s="223"/>
      <c r="JHO126" s="223"/>
      <c r="JHP126" s="225"/>
      <c r="JHQ126" s="220"/>
      <c r="JHR126" s="221"/>
      <c r="JHS126" s="222"/>
      <c r="JHT126" s="222"/>
      <c r="JHU126" s="223"/>
      <c r="JHV126" s="223"/>
      <c r="JHW126" s="224"/>
      <c r="JHX126" s="223"/>
      <c r="JHY126" s="223"/>
      <c r="JHZ126" s="223"/>
      <c r="JIA126" s="223"/>
      <c r="JIB126" s="225"/>
      <c r="JIC126" s="220"/>
      <c r="JID126" s="221"/>
      <c r="JIE126" s="222"/>
      <c r="JIF126" s="222"/>
      <c r="JIG126" s="223"/>
      <c r="JIH126" s="223"/>
      <c r="JII126" s="224"/>
      <c r="JIJ126" s="223"/>
      <c r="JIK126" s="223"/>
      <c r="JIL126" s="223"/>
      <c r="JIM126" s="223"/>
      <c r="JIN126" s="225"/>
      <c r="JIO126" s="220"/>
      <c r="JIP126" s="221"/>
      <c r="JIQ126" s="222"/>
      <c r="JIR126" s="222"/>
      <c r="JIS126" s="223"/>
      <c r="JIT126" s="223"/>
      <c r="JIU126" s="224"/>
      <c r="JIV126" s="223"/>
      <c r="JIW126" s="223"/>
      <c r="JIX126" s="223"/>
      <c r="JIY126" s="223"/>
      <c r="JIZ126" s="225"/>
      <c r="JJA126" s="220"/>
      <c r="JJB126" s="221"/>
      <c r="JJC126" s="222"/>
      <c r="JJD126" s="222"/>
      <c r="JJE126" s="223"/>
      <c r="JJF126" s="223"/>
      <c r="JJG126" s="224"/>
      <c r="JJH126" s="223"/>
      <c r="JJI126" s="223"/>
      <c r="JJJ126" s="223"/>
      <c r="JJK126" s="223"/>
      <c r="JJL126" s="225"/>
      <c r="JJM126" s="220"/>
      <c r="JJN126" s="221"/>
      <c r="JJO126" s="222"/>
      <c r="JJP126" s="222"/>
      <c r="JJQ126" s="223"/>
      <c r="JJR126" s="223"/>
      <c r="JJS126" s="224"/>
      <c r="JJT126" s="223"/>
      <c r="JJU126" s="223"/>
      <c r="JJV126" s="223"/>
      <c r="JJW126" s="223"/>
      <c r="JJX126" s="225"/>
      <c r="JJY126" s="220"/>
      <c r="JJZ126" s="221"/>
      <c r="JKA126" s="222"/>
      <c r="JKB126" s="222"/>
      <c r="JKC126" s="223"/>
      <c r="JKD126" s="223"/>
      <c r="JKE126" s="224"/>
      <c r="JKF126" s="223"/>
      <c r="JKG126" s="223"/>
      <c r="JKH126" s="223"/>
      <c r="JKI126" s="223"/>
      <c r="JKJ126" s="225"/>
      <c r="JKK126" s="220"/>
      <c r="JKL126" s="221"/>
      <c r="JKM126" s="222"/>
      <c r="JKN126" s="222"/>
      <c r="JKO126" s="223"/>
      <c r="JKP126" s="223"/>
      <c r="JKQ126" s="224"/>
      <c r="JKR126" s="223"/>
      <c r="JKS126" s="223"/>
      <c r="JKT126" s="223"/>
      <c r="JKU126" s="223"/>
      <c r="JKV126" s="225"/>
      <c r="JKW126" s="220"/>
      <c r="JKX126" s="221"/>
      <c r="JKY126" s="222"/>
      <c r="JKZ126" s="222"/>
      <c r="JLA126" s="223"/>
      <c r="JLB126" s="223"/>
      <c r="JLC126" s="224"/>
      <c r="JLD126" s="223"/>
      <c r="JLE126" s="223"/>
      <c r="JLF126" s="223"/>
      <c r="JLG126" s="223"/>
      <c r="JLH126" s="225"/>
      <c r="JLI126" s="220"/>
      <c r="JLJ126" s="221"/>
      <c r="JLK126" s="222"/>
      <c r="JLL126" s="222"/>
      <c r="JLM126" s="223"/>
      <c r="JLN126" s="223"/>
      <c r="JLO126" s="224"/>
      <c r="JLP126" s="223"/>
      <c r="JLQ126" s="223"/>
      <c r="JLR126" s="223"/>
      <c r="JLS126" s="223"/>
      <c r="JLT126" s="225"/>
      <c r="JLU126" s="220"/>
      <c r="JLV126" s="221"/>
      <c r="JLW126" s="222"/>
      <c r="JLX126" s="222"/>
      <c r="JLY126" s="223"/>
      <c r="JLZ126" s="223"/>
      <c r="JMA126" s="224"/>
      <c r="JMB126" s="223"/>
      <c r="JMC126" s="223"/>
      <c r="JMD126" s="223"/>
      <c r="JME126" s="223"/>
      <c r="JMF126" s="225"/>
      <c r="JMG126" s="220"/>
      <c r="JMH126" s="221"/>
      <c r="JMI126" s="222"/>
      <c r="JMJ126" s="222"/>
      <c r="JMK126" s="223"/>
      <c r="JML126" s="223"/>
      <c r="JMM126" s="224"/>
      <c r="JMN126" s="223"/>
      <c r="JMO126" s="223"/>
      <c r="JMP126" s="223"/>
      <c r="JMQ126" s="223"/>
      <c r="JMR126" s="225"/>
      <c r="JMS126" s="220"/>
      <c r="JMT126" s="221"/>
      <c r="JMU126" s="222"/>
      <c r="JMV126" s="222"/>
      <c r="JMW126" s="223"/>
      <c r="JMX126" s="223"/>
      <c r="JMY126" s="224"/>
      <c r="JMZ126" s="223"/>
      <c r="JNA126" s="223"/>
      <c r="JNB126" s="223"/>
      <c r="JNC126" s="223"/>
      <c r="JND126" s="225"/>
      <c r="JNE126" s="220"/>
      <c r="JNF126" s="221"/>
      <c r="JNG126" s="222"/>
      <c r="JNH126" s="222"/>
      <c r="JNI126" s="223"/>
      <c r="JNJ126" s="223"/>
      <c r="JNK126" s="224"/>
      <c r="JNL126" s="223"/>
      <c r="JNM126" s="223"/>
      <c r="JNN126" s="223"/>
      <c r="JNO126" s="223"/>
      <c r="JNP126" s="225"/>
      <c r="JNQ126" s="220"/>
      <c r="JNR126" s="221"/>
      <c r="JNS126" s="222"/>
      <c r="JNT126" s="222"/>
      <c r="JNU126" s="223"/>
      <c r="JNV126" s="223"/>
      <c r="JNW126" s="224"/>
      <c r="JNX126" s="223"/>
      <c r="JNY126" s="223"/>
      <c r="JNZ126" s="223"/>
      <c r="JOA126" s="223"/>
      <c r="JOB126" s="225"/>
      <c r="JOC126" s="220"/>
      <c r="JOD126" s="221"/>
      <c r="JOE126" s="222"/>
      <c r="JOF126" s="222"/>
      <c r="JOG126" s="223"/>
      <c r="JOH126" s="223"/>
      <c r="JOI126" s="224"/>
      <c r="JOJ126" s="223"/>
      <c r="JOK126" s="223"/>
      <c r="JOL126" s="223"/>
      <c r="JOM126" s="223"/>
      <c r="JON126" s="225"/>
      <c r="JOO126" s="220"/>
      <c r="JOP126" s="221"/>
      <c r="JOQ126" s="222"/>
      <c r="JOR126" s="222"/>
      <c r="JOS126" s="223"/>
      <c r="JOT126" s="223"/>
      <c r="JOU126" s="224"/>
      <c r="JOV126" s="223"/>
      <c r="JOW126" s="223"/>
      <c r="JOX126" s="223"/>
      <c r="JOY126" s="223"/>
      <c r="JOZ126" s="225"/>
      <c r="JPA126" s="220"/>
      <c r="JPB126" s="221"/>
      <c r="JPC126" s="222"/>
      <c r="JPD126" s="222"/>
      <c r="JPE126" s="223"/>
      <c r="JPF126" s="223"/>
      <c r="JPG126" s="224"/>
      <c r="JPH126" s="223"/>
      <c r="JPI126" s="223"/>
      <c r="JPJ126" s="223"/>
      <c r="JPK126" s="223"/>
      <c r="JPL126" s="225"/>
      <c r="JPM126" s="220"/>
      <c r="JPN126" s="221"/>
      <c r="JPO126" s="222"/>
      <c r="JPP126" s="222"/>
      <c r="JPQ126" s="223"/>
      <c r="JPR126" s="223"/>
      <c r="JPS126" s="224"/>
      <c r="JPT126" s="223"/>
      <c r="JPU126" s="223"/>
      <c r="JPV126" s="223"/>
      <c r="JPW126" s="223"/>
      <c r="JPX126" s="225"/>
      <c r="JPY126" s="220"/>
      <c r="JPZ126" s="221"/>
      <c r="JQA126" s="222"/>
      <c r="JQB126" s="222"/>
      <c r="JQC126" s="223"/>
      <c r="JQD126" s="223"/>
      <c r="JQE126" s="224"/>
      <c r="JQF126" s="223"/>
      <c r="JQG126" s="223"/>
      <c r="JQH126" s="223"/>
      <c r="JQI126" s="223"/>
      <c r="JQJ126" s="225"/>
      <c r="JQK126" s="220"/>
      <c r="JQL126" s="221"/>
      <c r="JQM126" s="222"/>
      <c r="JQN126" s="222"/>
      <c r="JQO126" s="223"/>
      <c r="JQP126" s="223"/>
      <c r="JQQ126" s="224"/>
      <c r="JQR126" s="223"/>
      <c r="JQS126" s="223"/>
      <c r="JQT126" s="223"/>
      <c r="JQU126" s="223"/>
      <c r="JQV126" s="225"/>
      <c r="JQW126" s="220"/>
      <c r="JQX126" s="221"/>
      <c r="JQY126" s="222"/>
      <c r="JQZ126" s="222"/>
      <c r="JRA126" s="223"/>
      <c r="JRB126" s="223"/>
      <c r="JRC126" s="224"/>
      <c r="JRD126" s="223"/>
      <c r="JRE126" s="223"/>
      <c r="JRF126" s="223"/>
      <c r="JRG126" s="223"/>
      <c r="JRH126" s="225"/>
      <c r="JRI126" s="220"/>
      <c r="JRJ126" s="221"/>
      <c r="JRK126" s="222"/>
      <c r="JRL126" s="222"/>
      <c r="JRM126" s="223"/>
      <c r="JRN126" s="223"/>
      <c r="JRO126" s="224"/>
      <c r="JRP126" s="223"/>
      <c r="JRQ126" s="223"/>
      <c r="JRR126" s="223"/>
      <c r="JRS126" s="223"/>
      <c r="JRT126" s="225"/>
      <c r="JRU126" s="220"/>
      <c r="JRV126" s="221"/>
      <c r="JRW126" s="222"/>
      <c r="JRX126" s="222"/>
      <c r="JRY126" s="223"/>
      <c r="JRZ126" s="223"/>
      <c r="JSA126" s="224"/>
      <c r="JSB126" s="223"/>
      <c r="JSC126" s="223"/>
      <c r="JSD126" s="223"/>
      <c r="JSE126" s="223"/>
      <c r="JSF126" s="225"/>
      <c r="JSG126" s="220"/>
      <c r="JSH126" s="221"/>
      <c r="JSI126" s="222"/>
      <c r="JSJ126" s="222"/>
      <c r="JSK126" s="223"/>
      <c r="JSL126" s="223"/>
      <c r="JSM126" s="224"/>
      <c r="JSN126" s="223"/>
      <c r="JSO126" s="223"/>
      <c r="JSP126" s="223"/>
      <c r="JSQ126" s="223"/>
      <c r="JSR126" s="225"/>
      <c r="JSS126" s="220"/>
      <c r="JST126" s="221"/>
      <c r="JSU126" s="222"/>
      <c r="JSV126" s="222"/>
      <c r="JSW126" s="223"/>
      <c r="JSX126" s="223"/>
      <c r="JSY126" s="224"/>
      <c r="JSZ126" s="223"/>
      <c r="JTA126" s="223"/>
      <c r="JTB126" s="223"/>
      <c r="JTC126" s="223"/>
      <c r="JTD126" s="225"/>
      <c r="JTE126" s="220"/>
      <c r="JTF126" s="221"/>
      <c r="JTG126" s="222"/>
      <c r="JTH126" s="222"/>
      <c r="JTI126" s="223"/>
      <c r="JTJ126" s="223"/>
      <c r="JTK126" s="224"/>
      <c r="JTL126" s="223"/>
      <c r="JTM126" s="223"/>
      <c r="JTN126" s="223"/>
      <c r="JTO126" s="223"/>
      <c r="JTP126" s="225"/>
      <c r="JTQ126" s="220"/>
      <c r="JTR126" s="221"/>
      <c r="JTS126" s="222"/>
      <c r="JTT126" s="222"/>
      <c r="JTU126" s="223"/>
      <c r="JTV126" s="223"/>
      <c r="JTW126" s="224"/>
      <c r="JTX126" s="223"/>
      <c r="JTY126" s="223"/>
      <c r="JTZ126" s="223"/>
      <c r="JUA126" s="223"/>
      <c r="JUB126" s="225"/>
      <c r="JUC126" s="220"/>
      <c r="JUD126" s="221"/>
      <c r="JUE126" s="222"/>
      <c r="JUF126" s="222"/>
      <c r="JUG126" s="223"/>
      <c r="JUH126" s="223"/>
      <c r="JUI126" s="224"/>
      <c r="JUJ126" s="223"/>
      <c r="JUK126" s="223"/>
      <c r="JUL126" s="223"/>
      <c r="JUM126" s="223"/>
      <c r="JUN126" s="225"/>
      <c r="JUO126" s="220"/>
      <c r="JUP126" s="221"/>
      <c r="JUQ126" s="222"/>
      <c r="JUR126" s="222"/>
      <c r="JUS126" s="223"/>
      <c r="JUT126" s="223"/>
      <c r="JUU126" s="224"/>
      <c r="JUV126" s="223"/>
      <c r="JUW126" s="223"/>
      <c r="JUX126" s="223"/>
      <c r="JUY126" s="223"/>
      <c r="JUZ126" s="225"/>
      <c r="JVA126" s="220"/>
      <c r="JVB126" s="221"/>
      <c r="JVC126" s="222"/>
      <c r="JVD126" s="222"/>
      <c r="JVE126" s="223"/>
      <c r="JVF126" s="223"/>
      <c r="JVG126" s="224"/>
      <c r="JVH126" s="223"/>
      <c r="JVI126" s="223"/>
      <c r="JVJ126" s="223"/>
      <c r="JVK126" s="223"/>
      <c r="JVL126" s="225"/>
      <c r="JVM126" s="220"/>
      <c r="JVN126" s="221"/>
      <c r="JVO126" s="222"/>
      <c r="JVP126" s="222"/>
      <c r="JVQ126" s="223"/>
      <c r="JVR126" s="223"/>
      <c r="JVS126" s="224"/>
      <c r="JVT126" s="223"/>
      <c r="JVU126" s="223"/>
      <c r="JVV126" s="223"/>
      <c r="JVW126" s="223"/>
      <c r="JVX126" s="225"/>
      <c r="JVY126" s="220"/>
      <c r="JVZ126" s="221"/>
      <c r="JWA126" s="222"/>
      <c r="JWB126" s="222"/>
      <c r="JWC126" s="223"/>
      <c r="JWD126" s="223"/>
      <c r="JWE126" s="224"/>
      <c r="JWF126" s="223"/>
      <c r="JWG126" s="223"/>
      <c r="JWH126" s="223"/>
      <c r="JWI126" s="223"/>
      <c r="JWJ126" s="225"/>
      <c r="JWK126" s="220"/>
      <c r="JWL126" s="221"/>
      <c r="JWM126" s="222"/>
      <c r="JWN126" s="222"/>
      <c r="JWO126" s="223"/>
      <c r="JWP126" s="223"/>
      <c r="JWQ126" s="224"/>
      <c r="JWR126" s="223"/>
      <c r="JWS126" s="223"/>
      <c r="JWT126" s="223"/>
      <c r="JWU126" s="223"/>
      <c r="JWV126" s="225"/>
      <c r="JWW126" s="220"/>
      <c r="JWX126" s="221"/>
      <c r="JWY126" s="222"/>
      <c r="JWZ126" s="222"/>
      <c r="JXA126" s="223"/>
      <c r="JXB126" s="223"/>
      <c r="JXC126" s="224"/>
      <c r="JXD126" s="223"/>
      <c r="JXE126" s="223"/>
      <c r="JXF126" s="223"/>
      <c r="JXG126" s="223"/>
      <c r="JXH126" s="225"/>
      <c r="JXI126" s="220"/>
      <c r="JXJ126" s="221"/>
      <c r="JXK126" s="222"/>
      <c r="JXL126" s="222"/>
      <c r="JXM126" s="223"/>
      <c r="JXN126" s="223"/>
      <c r="JXO126" s="224"/>
      <c r="JXP126" s="223"/>
      <c r="JXQ126" s="223"/>
      <c r="JXR126" s="223"/>
      <c r="JXS126" s="223"/>
      <c r="JXT126" s="225"/>
      <c r="JXU126" s="220"/>
      <c r="JXV126" s="221"/>
      <c r="JXW126" s="222"/>
      <c r="JXX126" s="222"/>
      <c r="JXY126" s="223"/>
      <c r="JXZ126" s="223"/>
      <c r="JYA126" s="224"/>
      <c r="JYB126" s="223"/>
      <c r="JYC126" s="223"/>
      <c r="JYD126" s="223"/>
      <c r="JYE126" s="223"/>
      <c r="JYF126" s="225"/>
      <c r="JYG126" s="220"/>
      <c r="JYH126" s="221"/>
      <c r="JYI126" s="222"/>
      <c r="JYJ126" s="222"/>
      <c r="JYK126" s="223"/>
      <c r="JYL126" s="223"/>
      <c r="JYM126" s="224"/>
      <c r="JYN126" s="223"/>
      <c r="JYO126" s="223"/>
      <c r="JYP126" s="223"/>
      <c r="JYQ126" s="223"/>
      <c r="JYR126" s="225"/>
      <c r="JYS126" s="220"/>
      <c r="JYT126" s="221"/>
      <c r="JYU126" s="222"/>
      <c r="JYV126" s="222"/>
      <c r="JYW126" s="223"/>
      <c r="JYX126" s="223"/>
      <c r="JYY126" s="224"/>
      <c r="JYZ126" s="223"/>
      <c r="JZA126" s="223"/>
      <c r="JZB126" s="223"/>
      <c r="JZC126" s="223"/>
      <c r="JZD126" s="225"/>
      <c r="JZE126" s="220"/>
      <c r="JZF126" s="221"/>
      <c r="JZG126" s="222"/>
      <c r="JZH126" s="222"/>
      <c r="JZI126" s="223"/>
      <c r="JZJ126" s="223"/>
      <c r="JZK126" s="224"/>
      <c r="JZL126" s="223"/>
      <c r="JZM126" s="223"/>
      <c r="JZN126" s="223"/>
      <c r="JZO126" s="223"/>
      <c r="JZP126" s="225"/>
      <c r="JZQ126" s="220"/>
      <c r="JZR126" s="221"/>
      <c r="JZS126" s="222"/>
      <c r="JZT126" s="222"/>
      <c r="JZU126" s="223"/>
      <c r="JZV126" s="223"/>
      <c r="JZW126" s="224"/>
      <c r="JZX126" s="223"/>
      <c r="JZY126" s="223"/>
      <c r="JZZ126" s="223"/>
      <c r="KAA126" s="223"/>
      <c r="KAB126" s="225"/>
      <c r="KAC126" s="220"/>
      <c r="KAD126" s="221"/>
      <c r="KAE126" s="222"/>
      <c r="KAF126" s="222"/>
      <c r="KAG126" s="223"/>
      <c r="KAH126" s="223"/>
      <c r="KAI126" s="224"/>
      <c r="KAJ126" s="223"/>
      <c r="KAK126" s="223"/>
      <c r="KAL126" s="223"/>
      <c r="KAM126" s="223"/>
      <c r="KAN126" s="225"/>
      <c r="KAO126" s="220"/>
      <c r="KAP126" s="221"/>
      <c r="KAQ126" s="222"/>
      <c r="KAR126" s="222"/>
      <c r="KAS126" s="223"/>
      <c r="KAT126" s="223"/>
      <c r="KAU126" s="224"/>
      <c r="KAV126" s="223"/>
      <c r="KAW126" s="223"/>
      <c r="KAX126" s="223"/>
      <c r="KAY126" s="223"/>
      <c r="KAZ126" s="225"/>
      <c r="KBA126" s="220"/>
      <c r="KBB126" s="221"/>
      <c r="KBC126" s="222"/>
      <c r="KBD126" s="222"/>
      <c r="KBE126" s="223"/>
      <c r="KBF126" s="223"/>
      <c r="KBG126" s="224"/>
      <c r="KBH126" s="223"/>
      <c r="KBI126" s="223"/>
      <c r="KBJ126" s="223"/>
      <c r="KBK126" s="223"/>
      <c r="KBL126" s="225"/>
      <c r="KBM126" s="220"/>
      <c r="KBN126" s="221"/>
      <c r="KBO126" s="222"/>
      <c r="KBP126" s="222"/>
      <c r="KBQ126" s="223"/>
      <c r="KBR126" s="223"/>
      <c r="KBS126" s="224"/>
      <c r="KBT126" s="223"/>
      <c r="KBU126" s="223"/>
      <c r="KBV126" s="223"/>
      <c r="KBW126" s="223"/>
      <c r="KBX126" s="225"/>
      <c r="KBY126" s="220"/>
      <c r="KBZ126" s="221"/>
      <c r="KCA126" s="222"/>
      <c r="KCB126" s="222"/>
      <c r="KCC126" s="223"/>
      <c r="KCD126" s="223"/>
      <c r="KCE126" s="224"/>
      <c r="KCF126" s="223"/>
      <c r="KCG126" s="223"/>
      <c r="KCH126" s="223"/>
      <c r="KCI126" s="223"/>
      <c r="KCJ126" s="225"/>
      <c r="KCK126" s="220"/>
      <c r="KCL126" s="221"/>
      <c r="KCM126" s="222"/>
      <c r="KCN126" s="222"/>
      <c r="KCO126" s="223"/>
      <c r="KCP126" s="223"/>
      <c r="KCQ126" s="224"/>
      <c r="KCR126" s="223"/>
      <c r="KCS126" s="223"/>
      <c r="KCT126" s="223"/>
      <c r="KCU126" s="223"/>
      <c r="KCV126" s="225"/>
      <c r="KCW126" s="220"/>
      <c r="KCX126" s="221"/>
      <c r="KCY126" s="222"/>
      <c r="KCZ126" s="222"/>
      <c r="KDA126" s="223"/>
      <c r="KDB126" s="223"/>
      <c r="KDC126" s="224"/>
      <c r="KDD126" s="223"/>
      <c r="KDE126" s="223"/>
      <c r="KDF126" s="223"/>
      <c r="KDG126" s="223"/>
      <c r="KDH126" s="225"/>
      <c r="KDI126" s="220"/>
      <c r="KDJ126" s="221"/>
      <c r="KDK126" s="222"/>
      <c r="KDL126" s="222"/>
      <c r="KDM126" s="223"/>
      <c r="KDN126" s="223"/>
      <c r="KDO126" s="224"/>
      <c r="KDP126" s="223"/>
      <c r="KDQ126" s="223"/>
      <c r="KDR126" s="223"/>
      <c r="KDS126" s="223"/>
      <c r="KDT126" s="225"/>
      <c r="KDU126" s="220"/>
      <c r="KDV126" s="221"/>
      <c r="KDW126" s="222"/>
      <c r="KDX126" s="222"/>
      <c r="KDY126" s="223"/>
      <c r="KDZ126" s="223"/>
      <c r="KEA126" s="224"/>
      <c r="KEB126" s="223"/>
      <c r="KEC126" s="223"/>
      <c r="KED126" s="223"/>
      <c r="KEE126" s="223"/>
      <c r="KEF126" s="225"/>
      <c r="KEG126" s="220"/>
      <c r="KEH126" s="221"/>
      <c r="KEI126" s="222"/>
      <c r="KEJ126" s="222"/>
      <c r="KEK126" s="223"/>
      <c r="KEL126" s="223"/>
      <c r="KEM126" s="224"/>
      <c r="KEN126" s="223"/>
      <c r="KEO126" s="223"/>
      <c r="KEP126" s="223"/>
      <c r="KEQ126" s="223"/>
      <c r="KER126" s="225"/>
      <c r="KES126" s="220"/>
      <c r="KET126" s="221"/>
      <c r="KEU126" s="222"/>
      <c r="KEV126" s="222"/>
      <c r="KEW126" s="223"/>
      <c r="KEX126" s="223"/>
      <c r="KEY126" s="224"/>
      <c r="KEZ126" s="223"/>
      <c r="KFA126" s="223"/>
      <c r="KFB126" s="223"/>
      <c r="KFC126" s="223"/>
      <c r="KFD126" s="225"/>
      <c r="KFE126" s="220"/>
      <c r="KFF126" s="221"/>
      <c r="KFG126" s="222"/>
      <c r="KFH126" s="222"/>
      <c r="KFI126" s="223"/>
      <c r="KFJ126" s="223"/>
      <c r="KFK126" s="224"/>
      <c r="KFL126" s="223"/>
      <c r="KFM126" s="223"/>
      <c r="KFN126" s="223"/>
      <c r="KFO126" s="223"/>
      <c r="KFP126" s="225"/>
      <c r="KFQ126" s="220"/>
      <c r="KFR126" s="221"/>
      <c r="KFS126" s="222"/>
      <c r="KFT126" s="222"/>
      <c r="KFU126" s="223"/>
      <c r="KFV126" s="223"/>
      <c r="KFW126" s="224"/>
      <c r="KFX126" s="223"/>
      <c r="KFY126" s="223"/>
      <c r="KFZ126" s="223"/>
      <c r="KGA126" s="223"/>
      <c r="KGB126" s="225"/>
      <c r="KGC126" s="220"/>
      <c r="KGD126" s="221"/>
      <c r="KGE126" s="222"/>
      <c r="KGF126" s="222"/>
      <c r="KGG126" s="223"/>
      <c r="KGH126" s="223"/>
      <c r="KGI126" s="224"/>
      <c r="KGJ126" s="223"/>
      <c r="KGK126" s="223"/>
      <c r="KGL126" s="223"/>
      <c r="KGM126" s="223"/>
      <c r="KGN126" s="225"/>
      <c r="KGO126" s="220"/>
      <c r="KGP126" s="221"/>
      <c r="KGQ126" s="222"/>
      <c r="KGR126" s="222"/>
      <c r="KGS126" s="223"/>
      <c r="KGT126" s="223"/>
      <c r="KGU126" s="224"/>
      <c r="KGV126" s="223"/>
      <c r="KGW126" s="223"/>
      <c r="KGX126" s="223"/>
      <c r="KGY126" s="223"/>
      <c r="KGZ126" s="225"/>
      <c r="KHA126" s="220"/>
      <c r="KHB126" s="221"/>
      <c r="KHC126" s="222"/>
      <c r="KHD126" s="222"/>
      <c r="KHE126" s="223"/>
      <c r="KHF126" s="223"/>
      <c r="KHG126" s="224"/>
      <c r="KHH126" s="223"/>
      <c r="KHI126" s="223"/>
      <c r="KHJ126" s="223"/>
      <c r="KHK126" s="223"/>
      <c r="KHL126" s="225"/>
      <c r="KHM126" s="220"/>
      <c r="KHN126" s="221"/>
      <c r="KHO126" s="222"/>
      <c r="KHP126" s="222"/>
      <c r="KHQ126" s="223"/>
      <c r="KHR126" s="223"/>
      <c r="KHS126" s="224"/>
      <c r="KHT126" s="223"/>
      <c r="KHU126" s="223"/>
      <c r="KHV126" s="223"/>
      <c r="KHW126" s="223"/>
      <c r="KHX126" s="225"/>
      <c r="KHY126" s="220"/>
      <c r="KHZ126" s="221"/>
      <c r="KIA126" s="222"/>
      <c r="KIB126" s="222"/>
      <c r="KIC126" s="223"/>
      <c r="KID126" s="223"/>
      <c r="KIE126" s="224"/>
      <c r="KIF126" s="223"/>
      <c r="KIG126" s="223"/>
      <c r="KIH126" s="223"/>
      <c r="KII126" s="223"/>
      <c r="KIJ126" s="225"/>
      <c r="KIK126" s="220"/>
      <c r="KIL126" s="221"/>
      <c r="KIM126" s="222"/>
      <c r="KIN126" s="222"/>
      <c r="KIO126" s="223"/>
      <c r="KIP126" s="223"/>
      <c r="KIQ126" s="224"/>
      <c r="KIR126" s="223"/>
      <c r="KIS126" s="223"/>
      <c r="KIT126" s="223"/>
      <c r="KIU126" s="223"/>
      <c r="KIV126" s="225"/>
      <c r="KIW126" s="220"/>
      <c r="KIX126" s="221"/>
      <c r="KIY126" s="222"/>
      <c r="KIZ126" s="222"/>
      <c r="KJA126" s="223"/>
      <c r="KJB126" s="223"/>
      <c r="KJC126" s="224"/>
      <c r="KJD126" s="223"/>
      <c r="KJE126" s="223"/>
      <c r="KJF126" s="223"/>
      <c r="KJG126" s="223"/>
      <c r="KJH126" s="225"/>
      <c r="KJI126" s="220"/>
      <c r="KJJ126" s="221"/>
      <c r="KJK126" s="222"/>
      <c r="KJL126" s="222"/>
      <c r="KJM126" s="223"/>
      <c r="KJN126" s="223"/>
      <c r="KJO126" s="224"/>
      <c r="KJP126" s="223"/>
      <c r="KJQ126" s="223"/>
      <c r="KJR126" s="223"/>
      <c r="KJS126" s="223"/>
      <c r="KJT126" s="225"/>
      <c r="KJU126" s="220"/>
      <c r="KJV126" s="221"/>
      <c r="KJW126" s="222"/>
      <c r="KJX126" s="222"/>
      <c r="KJY126" s="223"/>
      <c r="KJZ126" s="223"/>
      <c r="KKA126" s="224"/>
      <c r="KKB126" s="223"/>
      <c r="KKC126" s="223"/>
      <c r="KKD126" s="223"/>
      <c r="KKE126" s="223"/>
      <c r="KKF126" s="225"/>
      <c r="KKG126" s="220"/>
      <c r="KKH126" s="221"/>
      <c r="KKI126" s="222"/>
      <c r="KKJ126" s="222"/>
      <c r="KKK126" s="223"/>
      <c r="KKL126" s="223"/>
      <c r="KKM126" s="224"/>
      <c r="KKN126" s="223"/>
      <c r="KKO126" s="223"/>
      <c r="KKP126" s="223"/>
      <c r="KKQ126" s="223"/>
      <c r="KKR126" s="225"/>
      <c r="KKS126" s="220"/>
      <c r="KKT126" s="221"/>
      <c r="KKU126" s="222"/>
      <c r="KKV126" s="222"/>
      <c r="KKW126" s="223"/>
      <c r="KKX126" s="223"/>
      <c r="KKY126" s="224"/>
      <c r="KKZ126" s="223"/>
      <c r="KLA126" s="223"/>
      <c r="KLB126" s="223"/>
      <c r="KLC126" s="223"/>
      <c r="KLD126" s="225"/>
      <c r="KLE126" s="220"/>
      <c r="KLF126" s="221"/>
      <c r="KLG126" s="222"/>
      <c r="KLH126" s="222"/>
      <c r="KLI126" s="223"/>
      <c r="KLJ126" s="223"/>
      <c r="KLK126" s="224"/>
      <c r="KLL126" s="223"/>
      <c r="KLM126" s="223"/>
      <c r="KLN126" s="223"/>
      <c r="KLO126" s="223"/>
      <c r="KLP126" s="225"/>
      <c r="KLQ126" s="220"/>
      <c r="KLR126" s="221"/>
      <c r="KLS126" s="222"/>
      <c r="KLT126" s="222"/>
      <c r="KLU126" s="223"/>
      <c r="KLV126" s="223"/>
      <c r="KLW126" s="224"/>
      <c r="KLX126" s="223"/>
      <c r="KLY126" s="223"/>
      <c r="KLZ126" s="223"/>
      <c r="KMA126" s="223"/>
      <c r="KMB126" s="225"/>
      <c r="KMC126" s="220"/>
      <c r="KMD126" s="221"/>
      <c r="KME126" s="222"/>
      <c r="KMF126" s="222"/>
      <c r="KMG126" s="223"/>
      <c r="KMH126" s="223"/>
      <c r="KMI126" s="224"/>
      <c r="KMJ126" s="223"/>
      <c r="KMK126" s="223"/>
      <c r="KML126" s="223"/>
      <c r="KMM126" s="223"/>
      <c r="KMN126" s="225"/>
      <c r="KMO126" s="220"/>
      <c r="KMP126" s="221"/>
      <c r="KMQ126" s="222"/>
      <c r="KMR126" s="222"/>
      <c r="KMS126" s="223"/>
      <c r="KMT126" s="223"/>
      <c r="KMU126" s="224"/>
      <c r="KMV126" s="223"/>
      <c r="KMW126" s="223"/>
      <c r="KMX126" s="223"/>
      <c r="KMY126" s="223"/>
      <c r="KMZ126" s="225"/>
      <c r="KNA126" s="220"/>
      <c r="KNB126" s="221"/>
      <c r="KNC126" s="222"/>
      <c r="KND126" s="222"/>
      <c r="KNE126" s="223"/>
      <c r="KNF126" s="223"/>
      <c r="KNG126" s="224"/>
      <c r="KNH126" s="223"/>
      <c r="KNI126" s="223"/>
      <c r="KNJ126" s="223"/>
      <c r="KNK126" s="223"/>
      <c r="KNL126" s="225"/>
      <c r="KNM126" s="220"/>
      <c r="KNN126" s="221"/>
      <c r="KNO126" s="222"/>
      <c r="KNP126" s="222"/>
      <c r="KNQ126" s="223"/>
      <c r="KNR126" s="223"/>
      <c r="KNS126" s="224"/>
      <c r="KNT126" s="223"/>
      <c r="KNU126" s="223"/>
      <c r="KNV126" s="223"/>
      <c r="KNW126" s="223"/>
      <c r="KNX126" s="225"/>
      <c r="KNY126" s="220"/>
      <c r="KNZ126" s="221"/>
      <c r="KOA126" s="222"/>
      <c r="KOB126" s="222"/>
      <c r="KOC126" s="223"/>
      <c r="KOD126" s="223"/>
      <c r="KOE126" s="224"/>
      <c r="KOF126" s="223"/>
      <c r="KOG126" s="223"/>
      <c r="KOH126" s="223"/>
      <c r="KOI126" s="223"/>
      <c r="KOJ126" s="225"/>
      <c r="KOK126" s="220"/>
      <c r="KOL126" s="221"/>
      <c r="KOM126" s="222"/>
      <c r="KON126" s="222"/>
      <c r="KOO126" s="223"/>
      <c r="KOP126" s="223"/>
      <c r="KOQ126" s="224"/>
      <c r="KOR126" s="223"/>
      <c r="KOS126" s="223"/>
      <c r="KOT126" s="223"/>
      <c r="KOU126" s="223"/>
      <c r="KOV126" s="225"/>
      <c r="KOW126" s="220"/>
      <c r="KOX126" s="221"/>
      <c r="KOY126" s="222"/>
      <c r="KOZ126" s="222"/>
      <c r="KPA126" s="223"/>
      <c r="KPB126" s="223"/>
      <c r="KPC126" s="224"/>
      <c r="KPD126" s="223"/>
      <c r="KPE126" s="223"/>
      <c r="KPF126" s="223"/>
      <c r="KPG126" s="223"/>
      <c r="KPH126" s="225"/>
      <c r="KPI126" s="220"/>
      <c r="KPJ126" s="221"/>
      <c r="KPK126" s="222"/>
      <c r="KPL126" s="222"/>
      <c r="KPM126" s="223"/>
      <c r="KPN126" s="223"/>
      <c r="KPO126" s="224"/>
      <c r="KPP126" s="223"/>
      <c r="KPQ126" s="223"/>
      <c r="KPR126" s="223"/>
      <c r="KPS126" s="223"/>
      <c r="KPT126" s="225"/>
      <c r="KPU126" s="220"/>
      <c r="KPV126" s="221"/>
      <c r="KPW126" s="222"/>
      <c r="KPX126" s="222"/>
      <c r="KPY126" s="223"/>
      <c r="KPZ126" s="223"/>
      <c r="KQA126" s="224"/>
      <c r="KQB126" s="223"/>
      <c r="KQC126" s="223"/>
      <c r="KQD126" s="223"/>
      <c r="KQE126" s="223"/>
      <c r="KQF126" s="225"/>
      <c r="KQG126" s="220"/>
      <c r="KQH126" s="221"/>
      <c r="KQI126" s="222"/>
      <c r="KQJ126" s="222"/>
      <c r="KQK126" s="223"/>
      <c r="KQL126" s="223"/>
      <c r="KQM126" s="224"/>
      <c r="KQN126" s="223"/>
      <c r="KQO126" s="223"/>
      <c r="KQP126" s="223"/>
      <c r="KQQ126" s="223"/>
      <c r="KQR126" s="225"/>
      <c r="KQS126" s="220"/>
      <c r="KQT126" s="221"/>
      <c r="KQU126" s="222"/>
      <c r="KQV126" s="222"/>
      <c r="KQW126" s="223"/>
      <c r="KQX126" s="223"/>
      <c r="KQY126" s="224"/>
      <c r="KQZ126" s="223"/>
      <c r="KRA126" s="223"/>
      <c r="KRB126" s="223"/>
      <c r="KRC126" s="223"/>
      <c r="KRD126" s="225"/>
      <c r="KRE126" s="220"/>
      <c r="KRF126" s="221"/>
      <c r="KRG126" s="222"/>
      <c r="KRH126" s="222"/>
      <c r="KRI126" s="223"/>
      <c r="KRJ126" s="223"/>
      <c r="KRK126" s="224"/>
      <c r="KRL126" s="223"/>
      <c r="KRM126" s="223"/>
      <c r="KRN126" s="223"/>
      <c r="KRO126" s="223"/>
      <c r="KRP126" s="225"/>
      <c r="KRQ126" s="220"/>
      <c r="KRR126" s="221"/>
      <c r="KRS126" s="222"/>
      <c r="KRT126" s="222"/>
      <c r="KRU126" s="223"/>
      <c r="KRV126" s="223"/>
      <c r="KRW126" s="224"/>
      <c r="KRX126" s="223"/>
      <c r="KRY126" s="223"/>
      <c r="KRZ126" s="223"/>
      <c r="KSA126" s="223"/>
      <c r="KSB126" s="225"/>
      <c r="KSC126" s="220"/>
      <c r="KSD126" s="221"/>
      <c r="KSE126" s="222"/>
      <c r="KSF126" s="222"/>
      <c r="KSG126" s="223"/>
      <c r="KSH126" s="223"/>
      <c r="KSI126" s="224"/>
      <c r="KSJ126" s="223"/>
      <c r="KSK126" s="223"/>
      <c r="KSL126" s="223"/>
      <c r="KSM126" s="223"/>
      <c r="KSN126" s="225"/>
      <c r="KSO126" s="220"/>
      <c r="KSP126" s="221"/>
      <c r="KSQ126" s="222"/>
      <c r="KSR126" s="222"/>
      <c r="KSS126" s="223"/>
      <c r="KST126" s="223"/>
      <c r="KSU126" s="224"/>
      <c r="KSV126" s="223"/>
      <c r="KSW126" s="223"/>
      <c r="KSX126" s="223"/>
      <c r="KSY126" s="223"/>
      <c r="KSZ126" s="225"/>
      <c r="KTA126" s="220"/>
      <c r="KTB126" s="221"/>
      <c r="KTC126" s="222"/>
      <c r="KTD126" s="222"/>
      <c r="KTE126" s="223"/>
      <c r="KTF126" s="223"/>
      <c r="KTG126" s="224"/>
      <c r="KTH126" s="223"/>
      <c r="KTI126" s="223"/>
      <c r="KTJ126" s="223"/>
      <c r="KTK126" s="223"/>
      <c r="KTL126" s="225"/>
      <c r="KTM126" s="220"/>
      <c r="KTN126" s="221"/>
      <c r="KTO126" s="222"/>
      <c r="KTP126" s="222"/>
      <c r="KTQ126" s="223"/>
      <c r="KTR126" s="223"/>
      <c r="KTS126" s="224"/>
      <c r="KTT126" s="223"/>
      <c r="KTU126" s="223"/>
      <c r="KTV126" s="223"/>
      <c r="KTW126" s="223"/>
      <c r="KTX126" s="225"/>
      <c r="KTY126" s="220"/>
      <c r="KTZ126" s="221"/>
      <c r="KUA126" s="222"/>
      <c r="KUB126" s="222"/>
      <c r="KUC126" s="223"/>
      <c r="KUD126" s="223"/>
      <c r="KUE126" s="224"/>
      <c r="KUF126" s="223"/>
      <c r="KUG126" s="223"/>
      <c r="KUH126" s="223"/>
      <c r="KUI126" s="223"/>
      <c r="KUJ126" s="225"/>
      <c r="KUK126" s="220"/>
      <c r="KUL126" s="221"/>
      <c r="KUM126" s="222"/>
      <c r="KUN126" s="222"/>
      <c r="KUO126" s="223"/>
      <c r="KUP126" s="223"/>
      <c r="KUQ126" s="224"/>
      <c r="KUR126" s="223"/>
      <c r="KUS126" s="223"/>
      <c r="KUT126" s="223"/>
      <c r="KUU126" s="223"/>
      <c r="KUV126" s="225"/>
      <c r="KUW126" s="220"/>
      <c r="KUX126" s="221"/>
      <c r="KUY126" s="222"/>
      <c r="KUZ126" s="222"/>
      <c r="KVA126" s="223"/>
      <c r="KVB126" s="223"/>
      <c r="KVC126" s="224"/>
      <c r="KVD126" s="223"/>
      <c r="KVE126" s="223"/>
      <c r="KVF126" s="223"/>
      <c r="KVG126" s="223"/>
      <c r="KVH126" s="225"/>
      <c r="KVI126" s="220"/>
      <c r="KVJ126" s="221"/>
      <c r="KVK126" s="222"/>
      <c r="KVL126" s="222"/>
      <c r="KVM126" s="223"/>
      <c r="KVN126" s="223"/>
      <c r="KVO126" s="224"/>
      <c r="KVP126" s="223"/>
      <c r="KVQ126" s="223"/>
      <c r="KVR126" s="223"/>
      <c r="KVS126" s="223"/>
      <c r="KVT126" s="225"/>
      <c r="KVU126" s="220"/>
      <c r="KVV126" s="221"/>
      <c r="KVW126" s="222"/>
      <c r="KVX126" s="222"/>
      <c r="KVY126" s="223"/>
      <c r="KVZ126" s="223"/>
      <c r="KWA126" s="224"/>
      <c r="KWB126" s="223"/>
      <c r="KWC126" s="223"/>
      <c r="KWD126" s="223"/>
      <c r="KWE126" s="223"/>
      <c r="KWF126" s="225"/>
      <c r="KWG126" s="220"/>
      <c r="KWH126" s="221"/>
      <c r="KWI126" s="222"/>
      <c r="KWJ126" s="222"/>
      <c r="KWK126" s="223"/>
      <c r="KWL126" s="223"/>
      <c r="KWM126" s="224"/>
      <c r="KWN126" s="223"/>
      <c r="KWO126" s="223"/>
      <c r="KWP126" s="223"/>
      <c r="KWQ126" s="223"/>
      <c r="KWR126" s="225"/>
      <c r="KWS126" s="220"/>
      <c r="KWT126" s="221"/>
      <c r="KWU126" s="222"/>
      <c r="KWV126" s="222"/>
      <c r="KWW126" s="223"/>
      <c r="KWX126" s="223"/>
      <c r="KWY126" s="224"/>
      <c r="KWZ126" s="223"/>
      <c r="KXA126" s="223"/>
      <c r="KXB126" s="223"/>
      <c r="KXC126" s="223"/>
      <c r="KXD126" s="225"/>
      <c r="KXE126" s="220"/>
      <c r="KXF126" s="221"/>
      <c r="KXG126" s="222"/>
      <c r="KXH126" s="222"/>
      <c r="KXI126" s="223"/>
      <c r="KXJ126" s="223"/>
      <c r="KXK126" s="224"/>
      <c r="KXL126" s="223"/>
      <c r="KXM126" s="223"/>
      <c r="KXN126" s="223"/>
      <c r="KXO126" s="223"/>
      <c r="KXP126" s="225"/>
      <c r="KXQ126" s="220"/>
      <c r="KXR126" s="221"/>
      <c r="KXS126" s="222"/>
      <c r="KXT126" s="222"/>
      <c r="KXU126" s="223"/>
      <c r="KXV126" s="223"/>
      <c r="KXW126" s="224"/>
      <c r="KXX126" s="223"/>
      <c r="KXY126" s="223"/>
      <c r="KXZ126" s="223"/>
      <c r="KYA126" s="223"/>
      <c r="KYB126" s="225"/>
      <c r="KYC126" s="220"/>
      <c r="KYD126" s="221"/>
      <c r="KYE126" s="222"/>
      <c r="KYF126" s="222"/>
      <c r="KYG126" s="223"/>
      <c r="KYH126" s="223"/>
      <c r="KYI126" s="224"/>
      <c r="KYJ126" s="223"/>
      <c r="KYK126" s="223"/>
      <c r="KYL126" s="223"/>
      <c r="KYM126" s="223"/>
      <c r="KYN126" s="225"/>
      <c r="KYO126" s="220"/>
      <c r="KYP126" s="221"/>
      <c r="KYQ126" s="222"/>
      <c r="KYR126" s="222"/>
      <c r="KYS126" s="223"/>
      <c r="KYT126" s="223"/>
      <c r="KYU126" s="224"/>
      <c r="KYV126" s="223"/>
      <c r="KYW126" s="223"/>
      <c r="KYX126" s="223"/>
      <c r="KYY126" s="223"/>
      <c r="KYZ126" s="225"/>
      <c r="KZA126" s="220"/>
      <c r="KZB126" s="221"/>
      <c r="KZC126" s="222"/>
      <c r="KZD126" s="222"/>
      <c r="KZE126" s="223"/>
      <c r="KZF126" s="223"/>
      <c r="KZG126" s="224"/>
      <c r="KZH126" s="223"/>
      <c r="KZI126" s="223"/>
      <c r="KZJ126" s="223"/>
      <c r="KZK126" s="223"/>
      <c r="KZL126" s="225"/>
      <c r="KZM126" s="220"/>
      <c r="KZN126" s="221"/>
      <c r="KZO126" s="222"/>
      <c r="KZP126" s="222"/>
      <c r="KZQ126" s="223"/>
      <c r="KZR126" s="223"/>
      <c r="KZS126" s="224"/>
      <c r="KZT126" s="223"/>
      <c r="KZU126" s="223"/>
      <c r="KZV126" s="223"/>
      <c r="KZW126" s="223"/>
      <c r="KZX126" s="225"/>
      <c r="KZY126" s="220"/>
      <c r="KZZ126" s="221"/>
      <c r="LAA126" s="222"/>
      <c r="LAB126" s="222"/>
      <c r="LAC126" s="223"/>
      <c r="LAD126" s="223"/>
      <c r="LAE126" s="224"/>
      <c r="LAF126" s="223"/>
      <c r="LAG126" s="223"/>
      <c r="LAH126" s="223"/>
      <c r="LAI126" s="223"/>
      <c r="LAJ126" s="225"/>
      <c r="LAK126" s="220"/>
      <c r="LAL126" s="221"/>
      <c r="LAM126" s="222"/>
      <c r="LAN126" s="222"/>
      <c r="LAO126" s="223"/>
      <c r="LAP126" s="223"/>
      <c r="LAQ126" s="224"/>
      <c r="LAR126" s="223"/>
      <c r="LAS126" s="223"/>
      <c r="LAT126" s="223"/>
      <c r="LAU126" s="223"/>
      <c r="LAV126" s="225"/>
      <c r="LAW126" s="220"/>
      <c r="LAX126" s="221"/>
      <c r="LAY126" s="222"/>
      <c r="LAZ126" s="222"/>
      <c r="LBA126" s="223"/>
      <c r="LBB126" s="223"/>
      <c r="LBC126" s="224"/>
      <c r="LBD126" s="223"/>
      <c r="LBE126" s="223"/>
      <c r="LBF126" s="223"/>
      <c r="LBG126" s="223"/>
      <c r="LBH126" s="225"/>
      <c r="LBI126" s="220"/>
      <c r="LBJ126" s="221"/>
      <c r="LBK126" s="222"/>
      <c r="LBL126" s="222"/>
      <c r="LBM126" s="223"/>
      <c r="LBN126" s="223"/>
      <c r="LBO126" s="224"/>
      <c r="LBP126" s="223"/>
      <c r="LBQ126" s="223"/>
      <c r="LBR126" s="223"/>
      <c r="LBS126" s="223"/>
      <c r="LBT126" s="225"/>
      <c r="LBU126" s="220"/>
      <c r="LBV126" s="221"/>
      <c r="LBW126" s="222"/>
      <c r="LBX126" s="222"/>
      <c r="LBY126" s="223"/>
      <c r="LBZ126" s="223"/>
      <c r="LCA126" s="224"/>
      <c r="LCB126" s="223"/>
      <c r="LCC126" s="223"/>
      <c r="LCD126" s="223"/>
      <c r="LCE126" s="223"/>
      <c r="LCF126" s="225"/>
      <c r="LCG126" s="220"/>
      <c r="LCH126" s="221"/>
      <c r="LCI126" s="222"/>
      <c r="LCJ126" s="222"/>
      <c r="LCK126" s="223"/>
      <c r="LCL126" s="223"/>
      <c r="LCM126" s="224"/>
      <c r="LCN126" s="223"/>
      <c r="LCO126" s="223"/>
      <c r="LCP126" s="223"/>
      <c r="LCQ126" s="223"/>
      <c r="LCR126" s="225"/>
      <c r="LCS126" s="220"/>
      <c r="LCT126" s="221"/>
      <c r="LCU126" s="222"/>
      <c r="LCV126" s="222"/>
      <c r="LCW126" s="223"/>
      <c r="LCX126" s="223"/>
      <c r="LCY126" s="224"/>
      <c r="LCZ126" s="223"/>
      <c r="LDA126" s="223"/>
      <c r="LDB126" s="223"/>
      <c r="LDC126" s="223"/>
      <c r="LDD126" s="225"/>
      <c r="LDE126" s="220"/>
      <c r="LDF126" s="221"/>
      <c r="LDG126" s="222"/>
      <c r="LDH126" s="222"/>
      <c r="LDI126" s="223"/>
      <c r="LDJ126" s="223"/>
      <c r="LDK126" s="224"/>
      <c r="LDL126" s="223"/>
      <c r="LDM126" s="223"/>
      <c r="LDN126" s="223"/>
      <c r="LDO126" s="223"/>
      <c r="LDP126" s="225"/>
      <c r="LDQ126" s="220"/>
      <c r="LDR126" s="221"/>
      <c r="LDS126" s="222"/>
      <c r="LDT126" s="222"/>
      <c r="LDU126" s="223"/>
      <c r="LDV126" s="223"/>
      <c r="LDW126" s="224"/>
      <c r="LDX126" s="223"/>
      <c r="LDY126" s="223"/>
      <c r="LDZ126" s="223"/>
      <c r="LEA126" s="223"/>
      <c r="LEB126" s="225"/>
      <c r="LEC126" s="220"/>
      <c r="LED126" s="221"/>
      <c r="LEE126" s="222"/>
      <c r="LEF126" s="222"/>
      <c r="LEG126" s="223"/>
      <c r="LEH126" s="223"/>
      <c r="LEI126" s="224"/>
      <c r="LEJ126" s="223"/>
      <c r="LEK126" s="223"/>
      <c r="LEL126" s="223"/>
      <c r="LEM126" s="223"/>
      <c r="LEN126" s="225"/>
      <c r="LEO126" s="220"/>
      <c r="LEP126" s="221"/>
      <c r="LEQ126" s="222"/>
      <c r="LER126" s="222"/>
      <c r="LES126" s="223"/>
      <c r="LET126" s="223"/>
      <c r="LEU126" s="224"/>
      <c r="LEV126" s="223"/>
      <c r="LEW126" s="223"/>
      <c r="LEX126" s="223"/>
      <c r="LEY126" s="223"/>
      <c r="LEZ126" s="225"/>
      <c r="LFA126" s="220"/>
      <c r="LFB126" s="221"/>
      <c r="LFC126" s="222"/>
      <c r="LFD126" s="222"/>
      <c r="LFE126" s="223"/>
      <c r="LFF126" s="223"/>
      <c r="LFG126" s="224"/>
      <c r="LFH126" s="223"/>
      <c r="LFI126" s="223"/>
      <c r="LFJ126" s="223"/>
      <c r="LFK126" s="223"/>
      <c r="LFL126" s="225"/>
      <c r="LFM126" s="220"/>
      <c r="LFN126" s="221"/>
      <c r="LFO126" s="222"/>
      <c r="LFP126" s="222"/>
      <c r="LFQ126" s="223"/>
      <c r="LFR126" s="223"/>
      <c r="LFS126" s="224"/>
      <c r="LFT126" s="223"/>
      <c r="LFU126" s="223"/>
      <c r="LFV126" s="223"/>
      <c r="LFW126" s="223"/>
      <c r="LFX126" s="225"/>
      <c r="LFY126" s="220"/>
      <c r="LFZ126" s="221"/>
      <c r="LGA126" s="222"/>
      <c r="LGB126" s="222"/>
      <c r="LGC126" s="223"/>
      <c r="LGD126" s="223"/>
      <c r="LGE126" s="224"/>
      <c r="LGF126" s="223"/>
      <c r="LGG126" s="223"/>
      <c r="LGH126" s="223"/>
      <c r="LGI126" s="223"/>
      <c r="LGJ126" s="225"/>
      <c r="LGK126" s="220"/>
      <c r="LGL126" s="221"/>
      <c r="LGM126" s="222"/>
      <c r="LGN126" s="222"/>
      <c r="LGO126" s="223"/>
      <c r="LGP126" s="223"/>
      <c r="LGQ126" s="224"/>
      <c r="LGR126" s="223"/>
      <c r="LGS126" s="223"/>
      <c r="LGT126" s="223"/>
      <c r="LGU126" s="223"/>
      <c r="LGV126" s="225"/>
      <c r="LGW126" s="220"/>
      <c r="LGX126" s="221"/>
      <c r="LGY126" s="222"/>
      <c r="LGZ126" s="222"/>
      <c r="LHA126" s="223"/>
      <c r="LHB126" s="223"/>
      <c r="LHC126" s="224"/>
      <c r="LHD126" s="223"/>
      <c r="LHE126" s="223"/>
      <c r="LHF126" s="223"/>
      <c r="LHG126" s="223"/>
      <c r="LHH126" s="225"/>
      <c r="LHI126" s="220"/>
      <c r="LHJ126" s="221"/>
      <c r="LHK126" s="222"/>
      <c r="LHL126" s="222"/>
      <c r="LHM126" s="223"/>
      <c r="LHN126" s="223"/>
      <c r="LHO126" s="224"/>
      <c r="LHP126" s="223"/>
      <c r="LHQ126" s="223"/>
      <c r="LHR126" s="223"/>
      <c r="LHS126" s="223"/>
      <c r="LHT126" s="225"/>
      <c r="LHU126" s="220"/>
      <c r="LHV126" s="221"/>
      <c r="LHW126" s="222"/>
      <c r="LHX126" s="222"/>
      <c r="LHY126" s="223"/>
      <c r="LHZ126" s="223"/>
      <c r="LIA126" s="224"/>
      <c r="LIB126" s="223"/>
      <c r="LIC126" s="223"/>
      <c r="LID126" s="223"/>
      <c r="LIE126" s="223"/>
      <c r="LIF126" s="225"/>
      <c r="LIG126" s="220"/>
      <c r="LIH126" s="221"/>
      <c r="LII126" s="222"/>
      <c r="LIJ126" s="222"/>
      <c r="LIK126" s="223"/>
      <c r="LIL126" s="223"/>
      <c r="LIM126" s="224"/>
      <c r="LIN126" s="223"/>
      <c r="LIO126" s="223"/>
      <c r="LIP126" s="223"/>
      <c r="LIQ126" s="223"/>
      <c r="LIR126" s="225"/>
      <c r="LIS126" s="220"/>
      <c r="LIT126" s="221"/>
      <c r="LIU126" s="222"/>
      <c r="LIV126" s="222"/>
      <c r="LIW126" s="223"/>
      <c r="LIX126" s="223"/>
      <c r="LIY126" s="224"/>
      <c r="LIZ126" s="223"/>
      <c r="LJA126" s="223"/>
      <c r="LJB126" s="223"/>
      <c r="LJC126" s="223"/>
      <c r="LJD126" s="225"/>
      <c r="LJE126" s="220"/>
      <c r="LJF126" s="221"/>
      <c r="LJG126" s="222"/>
      <c r="LJH126" s="222"/>
      <c r="LJI126" s="223"/>
      <c r="LJJ126" s="223"/>
      <c r="LJK126" s="224"/>
      <c r="LJL126" s="223"/>
      <c r="LJM126" s="223"/>
      <c r="LJN126" s="223"/>
      <c r="LJO126" s="223"/>
      <c r="LJP126" s="225"/>
      <c r="LJQ126" s="220"/>
      <c r="LJR126" s="221"/>
      <c r="LJS126" s="222"/>
      <c r="LJT126" s="222"/>
      <c r="LJU126" s="223"/>
      <c r="LJV126" s="223"/>
      <c r="LJW126" s="224"/>
      <c r="LJX126" s="223"/>
      <c r="LJY126" s="223"/>
      <c r="LJZ126" s="223"/>
      <c r="LKA126" s="223"/>
      <c r="LKB126" s="225"/>
      <c r="LKC126" s="220"/>
      <c r="LKD126" s="221"/>
      <c r="LKE126" s="222"/>
      <c r="LKF126" s="222"/>
      <c r="LKG126" s="223"/>
      <c r="LKH126" s="223"/>
      <c r="LKI126" s="224"/>
      <c r="LKJ126" s="223"/>
      <c r="LKK126" s="223"/>
      <c r="LKL126" s="223"/>
      <c r="LKM126" s="223"/>
      <c r="LKN126" s="225"/>
      <c r="LKO126" s="220"/>
      <c r="LKP126" s="221"/>
      <c r="LKQ126" s="222"/>
      <c r="LKR126" s="222"/>
      <c r="LKS126" s="223"/>
      <c r="LKT126" s="223"/>
      <c r="LKU126" s="224"/>
      <c r="LKV126" s="223"/>
      <c r="LKW126" s="223"/>
      <c r="LKX126" s="223"/>
      <c r="LKY126" s="223"/>
      <c r="LKZ126" s="225"/>
      <c r="LLA126" s="220"/>
      <c r="LLB126" s="221"/>
      <c r="LLC126" s="222"/>
      <c r="LLD126" s="222"/>
      <c r="LLE126" s="223"/>
      <c r="LLF126" s="223"/>
      <c r="LLG126" s="224"/>
      <c r="LLH126" s="223"/>
      <c r="LLI126" s="223"/>
      <c r="LLJ126" s="223"/>
      <c r="LLK126" s="223"/>
      <c r="LLL126" s="225"/>
      <c r="LLM126" s="220"/>
      <c r="LLN126" s="221"/>
      <c r="LLO126" s="222"/>
      <c r="LLP126" s="222"/>
      <c r="LLQ126" s="223"/>
      <c r="LLR126" s="223"/>
      <c r="LLS126" s="224"/>
      <c r="LLT126" s="223"/>
      <c r="LLU126" s="223"/>
      <c r="LLV126" s="223"/>
      <c r="LLW126" s="223"/>
      <c r="LLX126" s="225"/>
      <c r="LLY126" s="220"/>
      <c r="LLZ126" s="221"/>
      <c r="LMA126" s="222"/>
      <c r="LMB126" s="222"/>
      <c r="LMC126" s="223"/>
      <c r="LMD126" s="223"/>
      <c r="LME126" s="224"/>
      <c r="LMF126" s="223"/>
      <c r="LMG126" s="223"/>
      <c r="LMH126" s="223"/>
      <c r="LMI126" s="223"/>
      <c r="LMJ126" s="225"/>
      <c r="LMK126" s="220"/>
      <c r="LML126" s="221"/>
      <c r="LMM126" s="222"/>
      <c r="LMN126" s="222"/>
      <c r="LMO126" s="223"/>
      <c r="LMP126" s="223"/>
      <c r="LMQ126" s="224"/>
      <c r="LMR126" s="223"/>
      <c r="LMS126" s="223"/>
      <c r="LMT126" s="223"/>
      <c r="LMU126" s="223"/>
      <c r="LMV126" s="225"/>
      <c r="LMW126" s="220"/>
      <c r="LMX126" s="221"/>
      <c r="LMY126" s="222"/>
      <c r="LMZ126" s="222"/>
      <c r="LNA126" s="223"/>
      <c r="LNB126" s="223"/>
      <c r="LNC126" s="224"/>
      <c r="LND126" s="223"/>
      <c r="LNE126" s="223"/>
      <c r="LNF126" s="223"/>
      <c r="LNG126" s="223"/>
      <c r="LNH126" s="225"/>
      <c r="LNI126" s="220"/>
      <c r="LNJ126" s="221"/>
      <c r="LNK126" s="222"/>
      <c r="LNL126" s="222"/>
      <c r="LNM126" s="223"/>
      <c r="LNN126" s="223"/>
      <c r="LNO126" s="224"/>
      <c r="LNP126" s="223"/>
      <c r="LNQ126" s="223"/>
      <c r="LNR126" s="223"/>
      <c r="LNS126" s="223"/>
      <c r="LNT126" s="225"/>
      <c r="LNU126" s="220"/>
      <c r="LNV126" s="221"/>
      <c r="LNW126" s="222"/>
      <c r="LNX126" s="222"/>
      <c r="LNY126" s="223"/>
      <c r="LNZ126" s="223"/>
      <c r="LOA126" s="224"/>
      <c r="LOB126" s="223"/>
      <c r="LOC126" s="223"/>
      <c r="LOD126" s="223"/>
      <c r="LOE126" s="223"/>
      <c r="LOF126" s="225"/>
      <c r="LOG126" s="220"/>
      <c r="LOH126" s="221"/>
      <c r="LOI126" s="222"/>
      <c r="LOJ126" s="222"/>
      <c r="LOK126" s="223"/>
      <c r="LOL126" s="223"/>
      <c r="LOM126" s="224"/>
      <c r="LON126" s="223"/>
      <c r="LOO126" s="223"/>
      <c r="LOP126" s="223"/>
      <c r="LOQ126" s="223"/>
      <c r="LOR126" s="225"/>
      <c r="LOS126" s="220"/>
      <c r="LOT126" s="221"/>
      <c r="LOU126" s="222"/>
      <c r="LOV126" s="222"/>
      <c r="LOW126" s="223"/>
      <c r="LOX126" s="223"/>
      <c r="LOY126" s="224"/>
      <c r="LOZ126" s="223"/>
      <c r="LPA126" s="223"/>
      <c r="LPB126" s="223"/>
      <c r="LPC126" s="223"/>
      <c r="LPD126" s="225"/>
      <c r="LPE126" s="220"/>
      <c r="LPF126" s="221"/>
      <c r="LPG126" s="222"/>
      <c r="LPH126" s="222"/>
      <c r="LPI126" s="223"/>
      <c r="LPJ126" s="223"/>
      <c r="LPK126" s="224"/>
      <c r="LPL126" s="223"/>
      <c r="LPM126" s="223"/>
      <c r="LPN126" s="223"/>
      <c r="LPO126" s="223"/>
      <c r="LPP126" s="225"/>
      <c r="LPQ126" s="220"/>
      <c r="LPR126" s="221"/>
      <c r="LPS126" s="222"/>
      <c r="LPT126" s="222"/>
      <c r="LPU126" s="223"/>
      <c r="LPV126" s="223"/>
      <c r="LPW126" s="224"/>
      <c r="LPX126" s="223"/>
      <c r="LPY126" s="223"/>
      <c r="LPZ126" s="223"/>
      <c r="LQA126" s="223"/>
      <c r="LQB126" s="225"/>
      <c r="LQC126" s="220"/>
      <c r="LQD126" s="221"/>
      <c r="LQE126" s="222"/>
      <c r="LQF126" s="222"/>
      <c r="LQG126" s="223"/>
      <c r="LQH126" s="223"/>
      <c r="LQI126" s="224"/>
      <c r="LQJ126" s="223"/>
      <c r="LQK126" s="223"/>
      <c r="LQL126" s="223"/>
      <c r="LQM126" s="223"/>
      <c r="LQN126" s="225"/>
      <c r="LQO126" s="220"/>
      <c r="LQP126" s="221"/>
      <c r="LQQ126" s="222"/>
      <c r="LQR126" s="222"/>
      <c r="LQS126" s="223"/>
      <c r="LQT126" s="223"/>
      <c r="LQU126" s="224"/>
      <c r="LQV126" s="223"/>
      <c r="LQW126" s="223"/>
      <c r="LQX126" s="223"/>
      <c r="LQY126" s="223"/>
      <c r="LQZ126" s="225"/>
      <c r="LRA126" s="220"/>
      <c r="LRB126" s="221"/>
      <c r="LRC126" s="222"/>
      <c r="LRD126" s="222"/>
      <c r="LRE126" s="223"/>
      <c r="LRF126" s="223"/>
      <c r="LRG126" s="224"/>
      <c r="LRH126" s="223"/>
      <c r="LRI126" s="223"/>
      <c r="LRJ126" s="223"/>
      <c r="LRK126" s="223"/>
      <c r="LRL126" s="225"/>
      <c r="LRM126" s="220"/>
      <c r="LRN126" s="221"/>
      <c r="LRO126" s="222"/>
      <c r="LRP126" s="222"/>
      <c r="LRQ126" s="223"/>
      <c r="LRR126" s="223"/>
      <c r="LRS126" s="224"/>
      <c r="LRT126" s="223"/>
      <c r="LRU126" s="223"/>
      <c r="LRV126" s="223"/>
      <c r="LRW126" s="223"/>
      <c r="LRX126" s="225"/>
      <c r="LRY126" s="220"/>
      <c r="LRZ126" s="221"/>
      <c r="LSA126" s="222"/>
      <c r="LSB126" s="222"/>
      <c r="LSC126" s="223"/>
      <c r="LSD126" s="223"/>
      <c r="LSE126" s="224"/>
      <c r="LSF126" s="223"/>
      <c r="LSG126" s="223"/>
      <c r="LSH126" s="223"/>
      <c r="LSI126" s="223"/>
      <c r="LSJ126" s="225"/>
      <c r="LSK126" s="220"/>
      <c r="LSL126" s="221"/>
      <c r="LSM126" s="222"/>
      <c r="LSN126" s="222"/>
      <c r="LSO126" s="223"/>
      <c r="LSP126" s="223"/>
      <c r="LSQ126" s="224"/>
      <c r="LSR126" s="223"/>
      <c r="LSS126" s="223"/>
      <c r="LST126" s="223"/>
      <c r="LSU126" s="223"/>
      <c r="LSV126" s="225"/>
      <c r="LSW126" s="220"/>
      <c r="LSX126" s="221"/>
      <c r="LSY126" s="222"/>
      <c r="LSZ126" s="222"/>
      <c r="LTA126" s="223"/>
      <c r="LTB126" s="223"/>
      <c r="LTC126" s="224"/>
      <c r="LTD126" s="223"/>
      <c r="LTE126" s="223"/>
      <c r="LTF126" s="223"/>
      <c r="LTG126" s="223"/>
      <c r="LTH126" s="225"/>
      <c r="LTI126" s="220"/>
      <c r="LTJ126" s="221"/>
      <c r="LTK126" s="222"/>
      <c r="LTL126" s="222"/>
      <c r="LTM126" s="223"/>
      <c r="LTN126" s="223"/>
      <c r="LTO126" s="224"/>
      <c r="LTP126" s="223"/>
      <c r="LTQ126" s="223"/>
      <c r="LTR126" s="223"/>
      <c r="LTS126" s="223"/>
      <c r="LTT126" s="225"/>
      <c r="LTU126" s="220"/>
      <c r="LTV126" s="221"/>
      <c r="LTW126" s="222"/>
      <c r="LTX126" s="222"/>
      <c r="LTY126" s="223"/>
      <c r="LTZ126" s="223"/>
      <c r="LUA126" s="224"/>
      <c r="LUB126" s="223"/>
      <c r="LUC126" s="223"/>
      <c r="LUD126" s="223"/>
      <c r="LUE126" s="223"/>
      <c r="LUF126" s="225"/>
      <c r="LUG126" s="220"/>
      <c r="LUH126" s="221"/>
      <c r="LUI126" s="222"/>
      <c r="LUJ126" s="222"/>
      <c r="LUK126" s="223"/>
      <c r="LUL126" s="223"/>
      <c r="LUM126" s="224"/>
      <c r="LUN126" s="223"/>
      <c r="LUO126" s="223"/>
      <c r="LUP126" s="223"/>
      <c r="LUQ126" s="223"/>
      <c r="LUR126" s="225"/>
      <c r="LUS126" s="220"/>
      <c r="LUT126" s="221"/>
      <c r="LUU126" s="222"/>
      <c r="LUV126" s="222"/>
      <c r="LUW126" s="223"/>
      <c r="LUX126" s="223"/>
      <c r="LUY126" s="224"/>
      <c r="LUZ126" s="223"/>
      <c r="LVA126" s="223"/>
      <c r="LVB126" s="223"/>
      <c r="LVC126" s="223"/>
      <c r="LVD126" s="225"/>
      <c r="LVE126" s="220"/>
      <c r="LVF126" s="221"/>
      <c r="LVG126" s="222"/>
      <c r="LVH126" s="222"/>
      <c r="LVI126" s="223"/>
      <c r="LVJ126" s="223"/>
      <c r="LVK126" s="224"/>
      <c r="LVL126" s="223"/>
      <c r="LVM126" s="223"/>
      <c r="LVN126" s="223"/>
      <c r="LVO126" s="223"/>
      <c r="LVP126" s="225"/>
      <c r="LVQ126" s="220"/>
      <c r="LVR126" s="221"/>
      <c r="LVS126" s="222"/>
      <c r="LVT126" s="222"/>
      <c r="LVU126" s="223"/>
      <c r="LVV126" s="223"/>
      <c r="LVW126" s="224"/>
      <c r="LVX126" s="223"/>
      <c r="LVY126" s="223"/>
      <c r="LVZ126" s="223"/>
      <c r="LWA126" s="223"/>
      <c r="LWB126" s="225"/>
      <c r="LWC126" s="220"/>
      <c r="LWD126" s="221"/>
      <c r="LWE126" s="222"/>
      <c r="LWF126" s="222"/>
      <c r="LWG126" s="223"/>
      <c r="LWH126" s="223"/>
      <c r="LWI126" s="224"/>
      <c r="LWJ126" s="223"/>
      <c r="LWK126" s="223"/>
      <c r="LWL126" s="223"/>
      <c r="LWM126" s="223"/>
      <c r="LWN126" s="225"/>
      <c r="LWO126" s="220"/>
      <c r="LWP126" s="221"/>
      <c r="LWQ126" s="222"/>
      <c r="LWR126" s="222"/>
      <c r="LWS126" s="223"/>
      <c r="LWT126" s="223"/>
      <c r="LWU126" s="224"/>
      <c r="LWV126" s="223"/>
      <c r="LWW126" s="223"/>
      <c r="LWX126" s="223"/>
      <c r="LWY126" s="223"/>
      <c r="LWZ126" s="225"/>
      <c r="LXA126" s="220"/>
      <c r="LXB126" s="221"/>
      <c r="LXC126" s="222"/>
      <c r="LXD126" s="222"/>
      <c r="LXE126" s="223"/>
      <c r="LXF126" s="223"/>
      <c r="LXG126" s="224"/>
      <c r="LXH126" s="223"/>
      <c r="LXI126" s="223"/>
      <c r="LXJ126" s="223"/>
      <c r="LXK126" s="223"/>
      <c r="LXL126" s="225"/>
      <c r="LXM126" s="220"/>
      <c r="LXN126" s="221"/>
      <c r="LXO126" s="222"/>
      <c r="LXP126" s="222"/>
      <c r="LXQ126" s="223"/>
      <c r="LXR126" s="223"/>
      <c r="LXS126" s="224"/>
      <c r="LXT126" s="223"/>
      <c r="LXU126" s="223"/>
      <c r="LXV126" s="223"/>
      <c r="LXW126" s="223"/>
      <c r="LXX126" s="225"/>
      <c r="LXY126" s="220"/>
      <c r="LXZ126" s="221"/>
      <c r="LYA126" s="222"/>
      <c r="LYB126" s="222"/>
      <c r="LYC126" s="223"/>
      <c r="LYD126" s="223"/>
      <c r="LYE126" s="224"/>
      <c r="LYF126" s="223"/>
      <c r="LYG126" s="223"/>
      <c r="LYH126" s="223"/>
      <c r="LYI126" s="223"/>
      <c r="LYJ126" s="225"/>
      <c r="LYK126" s="220"/>
      <c r="LYL126" s="221"/>
      <c r="LYM126" s="222"/>
      <c r="LYN126" s="222"/>
      <c r="LYO126" s="223"/>
      <c r="LYP126" s="223"/>
      <c r="LYQ126" s="224"/>
      <c r="LYR126" s="223"/>
      <c r="LYS126" s="223"/>
      <c r="LYT126" s="223"/>
      <c r="LYU126" s="223"/>
      <c r="LYV126" s="225"/>
      <c r="LYW126" s="220"/>
      <c r="LYX126" s="221"/>
      <c r="LYY126" s="222"/>
      <c r="LYZ126" s="222"/>
      <c r="LZA126" s="223"/>
      <c r="LZB126" s="223"/>
      <c r="LZC126" s="224"/>
      <c r="LZD126" s="223"/>
      <c r="LZE126" s="223"/>
      <c r="LZF126" s="223"/>
      <c r="LZG126" s="223"/>
      <c r="LZH126" s="225"/>
      <c r="LZI126" s="220"/>
      <c r="LZJ126" s="221"/>
      <c r="LZK126" s="222"/>
      <c r="LZL126" s="222"/>
      <c r="LZM126" s="223"/>
      <c r="LZN126" s="223"/>
      <c r="LZO126" s="224"/>
      <c r="LZP126" s="223"/>
      <c r="LZQ126" s="223"/>
      <c r="LZR126" s="223"/>
      <c r="LZS126" s="223"/>
      <c r="LZT126" s="225"/>
      <c r="LZU126" s="220"/>
      <c r="LZV126" s="221"/>
      <c r="LZW126" s="222"/>
      <c r="LZX126" s="222"/>
      <c r="LZY126" s="223"/>
      <c r="LZZ126" s="223"/>
      <c r="MAA126" s="224"/>
      <c r="MAB126" s="223"/>
      <c r="MAC126" s="223"/>
      <c r="MAD126" s="223"/>
      <c r="MAE126" s="223"/>
      <c r="MAF126" s="225"/>
      <c r="MAG126" s="220"/>
      <c r="MAH126" s="221"/>
      <c r="MAI126" s="222"/>
      <c r="MAJ126" s="222"/>
      <c r="MAK126" s="223"/>
      <c r="MAL126" s="223"/>
      <c r="MAM126" s="224"/>
      <c r="MAN126" s="223"/>
      <c r="MAO126" s="223"/>
      <c r="MAP126" s="223"/>
      <c r="MAQ126" s="223"/>
      <c r="MAR126" s="225"/>
      <c r="MAS126" s="220"/>
      <c r="MAT126" s="221"/>
      <c r="MAU126" s="222"/>
      <c r="MAV126" s="222"/>
      <c r="MAW126" s="223"/>
      <c r="MAX126" s="223"/>
      <c r="MAY126" s="224"/>
      <c r="MAZ126" s="223"/>
      <c r="MBA126" s="223"/>
      <c r="MBB126" s="223"/>
      <c r="MBC126" s="223"/>
      <c r="MBD126" s="225"/>
      <c r="MBE126" s="220"/>
      <c r="MBF126" s="221"/>
      <c r="MBG126" s="222"/>
      <c r="MBH126" s="222"/>
      <c r="MBI126" s="223"/>
      <c r="MBJ126" s="223"/>
      <c r="MBK126" s="224"/>
      <c r="MBL126" s="223"/>
      <c r="MBM126" s="223"/>
      <c r="MBN126" s="223"/>
      <c r="MBO126" s="223"/>
      <c r="MBP126" s="225"/>
      <c r="MBQ126" s="220"/>
      <c r="MBR126" s="221"/>
      <c r="MBS126" s="222"/>
      <c r="MBT126" s="222"/>
      <c r="MBU126" s="223"/>
      <c r="MBV126" s="223"/>
      <c r="MBW126" s="224"/>
      <c r="MBX126" s="223"/>
      <c r="MBY126" s="223"/>
      <c r="MBZ126" s="223"/>
      <c r="MCA126" s="223"/>
      <c r="MCB126" s="225"/>
      <c r="MCC126" s="220"/>
      <c r="MCD126" s="221"/>
      <c r="MCE126" s="222"/>
      <c r="MCF126" s="222"/>
      <c r="MCG126" s="223"/>
      <c r="MCH126" s="223"/>
      <c r="MCI126" s="224"/>
      <c r="MCJ126" s="223"/>
      <c r="MCK126" s="223"/>
      <c r="MCL126" s="223"/>
      <c r="MCM126" s="223"/>
      <c r="MCN126" s="225"/>
      <c r="MCO126" s="220"/>
      <c r="MCP126" s="221"/>
      <c r="MCQ126" s="222"/>
      <c r="MCR126" s="222"/>
      <c r="MCS126" s="223"/>
      <c r="MCT126" s="223"/>
      <c r="MCU126" s="224"/>
      <c r="MCV126" s="223"/>
      <c r="MCW126" s="223"/>
      <c r="MCX126" s="223"/>
      <c r="MCY126" s="223"/>
      <c r="MCZ126" s="225"/>
      <c r="MDA126" s="220"/>
      <c r="MDB126" s="221"/>
      <c r="MDC126" s="222"/>
      <c r="MDD126" s="222"/>
      <c r="MDE126" s="223"/>
      <c r="MDF126" s="223"/>
      <c r="MDG126" s="224"/>
      <c r="MDH126" s="223"/>
      <c r="MDI126" s="223"/>
      <c r="MDJ126" s="223"/>
      <c r="MDK126" s="223"/>
      <c r="MDL126" s="225"/>
      <c r="MDM126" s="220"/>
      <c r="MDN126" s="221"/>
      <c r="MDO126" s="222"/>
      <c r="MDP126" s="222"/>
      <c r="MDQ126" s="223"/>
      <c r="MDR126" s="223"/>
      <c r="MDS126" s="224"/>
      <c r="MDT126" s="223"/>
      <c r="MDU126" s="223"/>
      <c r="MDV126" s="223"/>
      <c r="MDW126" s="223"/>
      <c r="MDX126" s="225"/>
      <c r="MDY126" s="220"/>
      <c r="MDZ126" s="221"/>
      <c r="MEA126" s="222"/>
      <c r="MEB126" s="222"/>
      <c r="MEC126" s="223"/>
      <c r="MED126" s="223"/>
      <c r="MEE126" s="224"/>
      <c r="MEF126" s="223"/>
      <c r="MEG126" s="223"/>
      <c r="MEH126" s="223"/>
      <c r="MEI126" s="223"/>
      <c r="MEJ126" s="225"/>
      <c r="MEK126" s="220"/>
      <c r="MEL126" s="221"/>
      <c r="MEM126" s="222"/>
      <c r="MEN126" s="222"/>
      <c r="MEO126" s="223"/>
      <c r="MEP126" s="223"/>
      <c r="MEQ126" s="224"/>
      <c r="MER126" s="223"/>
      <c r="MES126" s="223"/>
      <c r="MET126" s="223"/>
      <c r="MEU126" s="223"/>
      <c r="MEV126" s="225"/>
      <c r="MEW126" s="220"/>
      <c r="MEX126" s="221"/>
      <c r="MEY126" s="222"/>
      <c r="MEZ126" s="222"/>
      <c r="MFA126" s="223"/>
      <c r="MFB126" s="223"/>
      <c r="MFC126" s="224"/>
      <c r="MFD126" s="223"/>
      <c r="MFE126" s="223"/>
      <c r="MFF126" s="223"/>
      <c r="MFG126" s="223"/>
      <c r="MFH126" s="225"/>
      <c r="MFI126" s="220"/>
      <c r="MFJ126" s="221"/>
      <c r="MFK126" s="222"/>
      <c r="MFL126" s="222"/>
      <c r="MFM126" s="223"/>
      <c r="MFN126" s="223"/>
      <c r="MFO126" s="224"/>
      <c r="MFP126" s="223"/>
      <c r="MFQ126" s="223"/>
      <c r="MFR126" s="223"/>
      <c r="MFS126" s="223"/>
      <c r="MFT126" s="225"/>
      <c r="MFU126" s="220"/>
      <c r="MFV126" s="221"/>
      <c r="MFW126" s="222"/>
      <c r="MFX126" s="222"/>
      <c r="MFY126" s="223"/>
      <c r="MFZ126" s="223"/>
      <c r="MGA126" s="224"/>
      <c r="MGB126" s="223"/>
      <c r="MGC126" s="223"/>
      <c r="MGD126" s="223"/>
      <c r="MGE126" s="223"/>
      <c r="MGF126" s="225"/>
      <c r="MGG126" s="220"/>
      <c r="MGH126" s="221"/>
      <c r="MGI126" s="222"/>
      <c r="MGJ126" s="222"/>
      <c r="MGK126" s="223"/>
      <c r="MGL126" s="223"/>
      <c r="MGM126" s="224"/>
      <c r="MGN126" s="223"/>
      <c r="MGO126" s="223"/>
      <c r="MGP126" s="223"/>
      <c r="MGQ126" s="223"/>
      <c r="MGR126" s="225"/>
      <c r="MGS126" s="220"/>
      <c r="MGT126" s="221"/>
      <c r="MGU126" s="222"/>
      <c r="MGV126" s="222"/>
      <c r="MGW126" s="223"/>
      <c r="MGX126" s="223"/>
      <c r="MGY126" s="224"/>
      <c r="MGZ126" s="223"/>
      <c r="MHA126" s="223"/>
      <c r="MHB126" s="223"/>
      <c r="MHC126" s="223"/>
      <c r="MHD126" s="225"/>
      <c r="MHE126" s="220"/>
      <c r="MHF126" s="221"/>
      <c r="MHG126" s="222"/>
      <c r="MHH126" s="222"/>
      <c r="MHI126" s="223"/>
      <c r="MHJ126" s="223"/>
      <c r="MHK126" s="224"/>
      <c r="MHL126" s="223"/>
      <c r="MHM126" s="223"/>
      <c r="MHN126" s="223"/>
      <c r="MHO126" s="223"/>
      <c r="MHP126" s="225"/>
      <c r="MHQ126" s="220"/>
      <c r="MHR126" s="221"/>
      <c r="MHS126" s="222"/>
      <c r="MHT126" s="222"/>
      <c r="MHU126" s="223"/>
      <c r="MHV126" s="223"/>
      <c r="MHW126" s="224"/>
      <c r="MHX126" s="223"/>
      <c r="MHY126" s="223"/>
      <c r="MHZ126" s="223"/>
      <c r="MIA126" s="223"/>
      <c r="MIB126" s="225"/>
      <c r="MIC126" s="220"/>
      <c r="MID126" s="221"/>
      <c r="MIE126" s="222"/>
      <c r="MIF126" s="222"/>
      <c r="MIG126" s="223"/>
      <c r="MIH126" s="223"/>
      <c r="MII126" s="224"/>
      <c r="MIJ126" s="223"/>
      <c r="MIK126" s="223"/>
      <c r="MIL126" s="223"/>
      <c r="MIM126" s="223"/>
      <c r="MIN126" s="225"/>
      <c r="MIO126" s="220"/>
      <c r="MIP126" s="221"/>
      <c r="MIQ126" s="222"/>
      <c r="MIR126" s="222"/>
      <c r="MIS126" s="223"/>
      <c r="MIT126" s="223"/>
      <c r="MIU126" s="224"/>
      <c r="MIV126" s="223"/>
      <c r="MIW126" s="223"/>
      <c r="MIX126" s="223"/>
      <c r="MIY126" s="223"/>
      <c r="MIZ126" s="225"/>
      <c r="MJA126" s="220"/>
      <c r="MJB126" s="221"/>
      <c r="MJC126" s="222"/>
      <c r="MJD126" s="222"/>
      <c r="MJE126" s="223"/>
      <c r="MJF126" s="223"/>
      <c r="MJG126" s="224"/>
      <c r="MJH126" s="223"/>
      <c r="MJI126" s="223"/>
      <c r="MJJ126" s="223"/>
      <c r="MJK126" s="223"/>
      <c r="MJL126" s="225"/>
      <c r="MJM126" s="220"/>
      <c r="MJN126" s="221"/>
      <c r="MJO126" s="222"/>
      <c r="MJP126" s="222"/>
      <c r="MJQ126" s="223"/>
      <c r="MJR126" s="223"/>
      <c r="MJS126" s="224"/>
      <c r="MJT126" s="223"/>
      <c r="MJU126" s="223"/>
      <c r="MJV126" s="223"/>
      <c r="MJW126" s="223"/>
      <c r="MJX126" s="225"/>
      <c r="MJY126" s="220"/>
      <c r="MJZ126" s="221"/>
      <c r="MKA126" s="222"/>
      <c r="MKB126" s="222"/>
      <c r="MKC126" s="223"/>
      <c r="MKD126" s="223"/>
      <c r="MKE126" s="224"/>
      <c r="MKF126" s="223"/>
      <c r="MKG126" s="223"/>
      <c r="MKH126" s="223"/>
      <c r="MKI126" s="223"/>
      <c r="MKJ126" s="225"/>
      <c r="MKK126" s="220"/>
      <c r="MKL126" s="221"/>
      <c r="MKM126" s="222"/>
      <c r="MKN126" s="222"/>
      <c r="MKO126" s="223"/>
      <c r="MKP126" s="223"/>
      <c r="MKQ126" s="224"/>
      <c r="MKR126" s="223"/>
      <c r="MKS126" s="223"/>
      <c r="MKT126" s="223"/>
      <c r="MKU126" s="223"/>
      <c r="MKV126" s="225"/>
      <c r="MKW126" s="220"/>
      <c r="MKX126" s="221"/>
      <c r="MKY126" s="222"/>
      <c r="MKZ126" s="222"/>
      <c r="MLA126" s="223"/>
      <c r="MLB126" s="223"/>
      <c r="MLC126" s="224"/>
      <c r="MLD126" s="223"/>
      <c r="MLE126" s="223"/>
      <c r="MLF126" s="223"/>
      <c r="MLG126" s="223"/>
      <c r="MLH126" s="225"/>
      <c r="MLI126" s="220"/>
      <c r="MLJ126" s="221"/>
      <c r="MLK126" s="222"/>
      <c r="MLL126" s="222"/>
      <c r="MLM126" s="223"/>
      <c r="MLN126" s="223"/>
      <c r="MLO126" s="224"/>
      <c r="MLP126" s="223"/>
      <c r="MLQ126" s="223"/>
      <c r="MLR126" s="223"/>
      <c r="MLS126" s="223"/>
      <c r="MLT126" s="225"/>
      <c r="MLU126" s="220"/>
      <c r="MLV126" s="221"/>
      <c r="MLW126" s="222"/>
      <c r="MLX126" s="222"/>
      <c r="MLY126" s="223"/>
      <c r="MLZ126" s="223"/>
      <c r="MMA126" s="224"/>
      <c r="MMB126" s="223"/>
      <c r="MMC126" s="223"/>
      <c r="MMD126" s="223"/>
      <c r="MME126" s="223"/>
      <c r="MMF126" s="225"/>
      <c r="MMG126" s="220"/>
      <c r="MMH126" s="221"/>
      <c r="MMI126" s="222"/>
      <c r="MMJ126" s="222"/>
      <c r="MMK126" s="223"/>
      <c r="MML126" s="223"/>
      <c r="MMM126" s="224"/>
      <c r="MMN126" s="223"/>
      <c r="MMO126" s="223"/>
      <c r="MMP126" s="223"/>
      <c r="MMQ126" s="223"/>
      <c r="MMR126" s="225"/>
      <c r="MMS126" s="220"/>
      <c r="MMT126" s="221"/>
      <c r="MMU126" s="222"/>
      <c r="MMV126" s="222"/>
      <c r="MMW126" s="223"/>
      <c r="MMX126" s="223"/>
      <c r="MMY126" s="224"/>
      <c r="MMZ126" s="223"/>
      <c r="MNA126" s="223"/>
      <c r="MNB126" s="223"/>
      <c r="MNC126" s="223"/>
      <c r="MND126" s="225"/>
      <c r="MNE126" s="220"/>
      <c r="MNF126" s="221"/>
      <c r="MNG126" s="222"/>
      <c r="MNH126" s="222"/>
      <c r="MNI126" s="223"/>
      <c r="MNJ126" s="223"/>
      <c r="MNK126" s="224"/>
      <c r="MNL126" s="223"/>
      <c r="MNM126" s="223"/>
      <c r="MNN126" s="223"/>
      <c r="MNO126" s="223"/>
      <c r="MNP126" s="225"/>
      <c r="MNQ126" s="220"/>
      <c r="MNR126" s="221"/>
      <c r="MNS126" s="222"/>
      <c r="MNT126" s="222"/>
      <c r="MNU126" s="223"/>
      <c r="MNV126" s="223"/>
      <c r="MNW126" s="224"/>
      <c r="MNX126" s="223"/>
      <c r="MNY126" s="223"/>
      <c r="MNZ126" s="223"/>
      <c r="MOA126" s="223"/>
      <c r="MOB126" s="225"/>
      <c r="MOC126" s="220"/>
      <c r="MOD126" s="221"/>
      <c r="MOE126" s="222"/>
      <c r="MOF126" s="222"/>
      <c r="MOG126" s="223"/>
      <c r="MOH126" s="223"/>
      <c r="MOI126" s="224"/>
      <c r="MOJ126" s="223"/>
      <c r="MOK126" s="223"/>
      <c r="MOL126" s="223"/>
      <c r="MOM126" s="223"/>
      <c r="MON126" s="225"/>
      <c r="MOO126" s="220"/>
      <c r="MOP126" s="221"/>
      <c r="MOQ126" s="222"/>
      <c r="MOR126" s="222"/>
      <c r="MOS126" s="223"/>
      <c r="MOT126" s="223"/>
      <c r="MOU126" s="224"/>
      <c r="MOV126" s="223"/>
      <c r="MOW126" s="223"/>
      <c r="MOX126" s="223"/>
      <c r="MOY126" s="223"/>
      <c r="MOZ126" s="225"/>
      <c r="MPA126" s="220"/>
      <c r="MPB126" s="221"/>
      <c r="MPC126" s="222"/>
      <c r="MPD126" s="222"/>
      <c r="MPE126" s="223"/>
      <c r="MPF126" s="223"/>
      <c r="MPG126" s="224"/>
      <c r="MPH126" s="223"/>
      <c r="MPI126" s="223"/>
      <c r="MPJ126" s="223"/>
      <c r="MPK126" s="223"/>
      <c r="MPL126" s="225"/>
      <c r="MPM126" s="220"/>
      <c r="MPN126" s="221"/>
      <c r="MPO126" s="222"/>
      <c r="MPP126" s="222"/>
      <c r="MPQ126" s="223"/>
      <c r="MPR126" s="223"/>
      <c r="MPS126" s="224"/>
      <c r="MPT126" s="223"/>
      <c r="MPU126" s="223"/>
      <c r="MPV126" s="223"/>
      <c r="MPW126" s="223"/>
      <c r="MPX126" s="225"/>
      <c r="MPY126" s="220"/>
      <c r="MPZ126" s="221"/>
      <c r="MQA126" s="222"/>
      <c r="MQB126" s="222"/>
      <c r="MQC126" s="223"/>
      <c r="MQD126" s="223"/>
      <c r="MQE126" s="224"/>
      <c r="MQF126" s="223"/>
      <c r="MQG126" s="223"/>
      <c r="MQH126" s="223"/>
      <c r="MQI126" s="223"/>
      <c r="MQJ126" s="225"/>
      <c r="MQK126" s="220"/>
      <c r="MQL126" s="221"/>
      <c r="MQM126" s="222"/>
      <c r="MQN126" s="222"/>
      <c r="MQO126" s="223"/>
      <c r="MQP126" s="223"/>
      <c r="MQQ126" s="224"/>
      <c r="MQR126" s="223"/>
      <c r="MQS126" s="223"/>
      <c r="MQT126" s="223"/>
      <c r="MQU126" s="223"/>
      <c r="MQV126" s="225"/>
      <c r="MQW126" s="220"/>
      <c r="MQX126" s="221"/>
      <c r="MQY126" s="222"/>
      <c r="MQZ126" s="222"/>
      <c r="MRA126" s="223"/>
      <c r="MRB126" s="223"/>
      <c r="MRC126" s="224"/>
      <c r="MRD126" s="223"/>
      <c r="MRE126" s="223"/>
      <c r="MRF126" s="223"/>
      <c r="MRG126" s="223"/>
      <c r="MRH126" s="225"/>
      <c r="MRI126" s="220"/>
      <c r="MRJ126" s="221"/>
      <c r="MRK126" s="222"/>
      <c r="MRL126" s="222"/>
      <c r="MRM126" s="223"/>
      <c r="MRN126" s="223"/>
      <c r="MRO126" s="224"/>
      <c r="MRP126" s="223"/>
      <c r="MRQ126" s="223"/>
      <c r="MRR126" s="223"/>
      <c r="MRS126" s="223"/>
      <c r="MRT126" s="225"/>
      <c r="MRU126" s="220"/>
      <c r="MRV126" s="221"/>
      <c r="MRW126" s="222"/>
      <c r="MRX126" s="222"/>
      <c r="MRY126" s="223"/>
      <c r="MRZ126" s="223"/>
      <c r="MSA126" s="224"/>
      <c r="MSB126" s="223"/>
      <c r="MSC126" s="223"/>
      <c r="MSD126" s="223"/>
      <c r="MSE126" s="223"/>
      <c r="MSF126" s="225"/>
      <c r="MSG126" s="220"/>
      <c r="MSH126" s="221"/>
      <c r="MSI126" s="222"/>
      <c r="MSJ126" s="222"/>
      <c r="MSK126" s="223"/>
      <c r="MSL126" s="223"/>
      <c r="MSM126" s="224"/>
      <c r="MSN126" s="223"/>
      <c r="MSO126" s="223"/>
      <c r="MSP126" s="223"/>
      <c r="MSQ126" s="223"/>
      <c r="MSR126" s="225"/>
      <c r="MSS126" s="220"/>
      <c r="MST126" s="221"/>
      <c r="MSU126" s="222"/>
      <c r="MSV126" s="222"/>
      <c r="MSW126" s="223"/>
      <c r="MSX126" s="223"/>
      <c r="MSY126" s="224"/>
      <c r="MSZ126" s="223"/>
      <c r="MTA126" s="223"/>
      <c r="MTB126" s="223"/>
      <c r="MTC126" s="223"/>
      <c r="MTD126" s="225"/>
      <c r="MTE126" s="220"/>
      <c r="MTF126" s="221"/>
      <c r="MTG126" s="222"/>
      <c r="MTH126" s="222"/>
      <c r="MTI126" s="223"/>
      <c r="MTJ126" s="223"/>
      <c r="MTK126" s="224"/>
      <c r="MTL126" s="223"/>
      <c r="MTM126" s="223"/>
      <c r="MTN126" s="223"/>
      <c r="MTO126" s="223"/>
      <c r="MTP126" s="225"/>
      <c r="MTQ126" s="220"/>
      <c r="MTR126" s="221"/>
      <c r="MTS126" s="222"/>
      <c r="MTT126" s="222"/>
      <c r="MTU126" s="223"/>
      <c r="MTV126" s="223"/>
      <c r="MTW126" s="224"/>
      <c r="MTX126" s="223"/>
      <c r="MTY126" s="223"/>
      <c r="MTZ126" s="223"/>
      <c r="MUA126" s="223"/>
      <c r="MUB126" s="225"/>
      <c r="MUC126" s="220"/>
      <c r="MUD126" s="221"/>
      <c r="MUE126" s="222"/>
      <c r="MUF126" s="222"/>
      <c r="MUG126" s="223"/>
      <c r="MUH126" s="223"/>
      <c r="MUI126" s="224"/>
      <c r="MUJ126" s="223"/>
      <c r="MUK126" s="223"/>
      <c r="MUL126" s="223"/>
      <c r="MUM126" s="223"/>
      <c r="MUN126" s="225"/>
      <c r="MUO126" s="220"/>
      <c r="MUP126" s="221"/>
      <c r="MUQ126" s="222"/>
      <c r="MUR126" s="222"/>
      <c r="MUS126" s="223"/>
      <c r="MUT126" s="223"/>
      <c r="MUU126" s="224"/>
      <c r="MUV126" s="223"/>
      <c r="MUW126" s="223"/>
      <c r="MUX126" s="223"/>
      <c r="MUY126" s="223"/>
      <c r="MUZ126" s="225"/>
      <c r="MVA126" s="220"/>
      <c r="MVB126" s="221"/>
      <c r="MVC126" s="222"/>
      <c r="MVD126" s="222"/>
      <c r="MVE126" s="223"/>
      <c r="MVF126" s="223"/>
      <c r="MVG126" s="224"/>
      <c r="MVH126" s="223"/>
      <c r="MVI126" s="223"/>
      <c r="MVJ126" s="223"/>
      <c r="MVK126" s="223"/>
      <c r="MVL126" s="225"/>
      <c r="MVM126" s="220"/>
      <c r="MVN126" s="221"/>
      <c r="MVO126" s="222"/>
      <c r="MVP126" s="222"/>
      <c r="MVQ126" s="223"/>
      <c r="MVR126" s="223"/>
      <c r="MVS126" s="224"/>
      <c r="MVT126" s="223"/>
      <c r="MVU126" s="223"/>
      <c r="MVV126" s="223"/>
      <c r="MVW126" s="223"/>
      <c r="MVX126" s="225"/>
      <c r="MVY126" s="220"/>
      <c r="MVZ126" s="221"/>
      <c r="MWA126" s="222"/>
      <c r="MWB126" s="222"/>
      <c r="MWC126" s="223"/>
      <c r="MWD126" s="223"/>
      <c r="MWE126" s="224"/>
      <c r="MWF126" s="223"/>
      <c r="MWG126" s="223"/>
      <c r="MWH126" s="223"/>
      <c r="MWI126" s="223"/>
      <c r="MWJ126" s="225"/>
      <c r="MWK126" s="220"/>
      <c r="MWL126" s="221"/>
      <c r="MWM126" s="222"/>
      <c r="MWN126" s="222"/>
      <c r="MWO126" s="223"/>
      <c r="MWP126" s="223"/>
      <c r="MWQ126" s="224"/>
      <c r="MWR126" s="223"/>
      <c r="MWS126" s="223"/>
      <c r="MWT126" s="223"/>
      <c r="MWU126" s="223"/>
      <c r="MWV126" s="225"/>
      <c r="MWW126" s="220"/>
      <c r="MWX126" s="221"/>
      <c r="MWY126" s="222"/>
      <c r="MWZ126" s="222"/>
      <c r="MXA126" s="223"/>
      <c r="MXB126" s="223"/>
      <c r="MXC126" s="224"/>
      <c r="MXD126" s="223"/>
      <c r="MXE126" s="223"/>
      <c r="MXF126" s="223"/>
      <c r="MXG126" s="223"/>
      <c r="MXH126" s="225"/>
      <c r="MXI126" s="220"/>
      <c r="MXJ126" s="221"/>
      <c r="MXK126" s="222"/>
      <c r="MXL126" s="222"/>
      <c r="MXM126" s="223"/>
      <c r="MXN126" s="223"/>
      <c r="MXO126" s="224"/>
      <c r="MXP126" s="223"/>
      <c r="MXQ126" s="223"/>
      <c r="MXR126" s="223"/>
      <c r="MXS126" s="223"/>
      <c r="MXT126" s="225"/>
      <c r="MXU126" s="220"/>
      <c r="MXV126" s="221"/>
      <c r="MXW126" s="222"/>
      <c r="MXX126" s="222"/>
      <c r="MXY126" s="223"/>
      <c r="MXZ126" s="223"/>
      <c r="MYA126" s="224"/>
      <c r="MYB126" s="223"/>
      <c r="MYC126" s="223"/>
      <c r="MYD126" s="223"/>
      <c r="MYE126" s="223"/>
      <c r="MYF126" s="225"/>
      <c r="MYG126" s="220"/>
      <c r="MYH126" s="221"/>
      <c r="MYI126" s="222"/>
      <c r="MYJ126" s="222"/>
      <c r="MYK126" s="223"/>
      <c r="MYL126" s="223"/>
      <c r="MYM126" s="224"/>
      <c r="MYN126" s="223"/>
      <c r="MYO126" s="223"/>
      <c r="MYP126" s="223"/>
      <c r="MYQ126" s="223"/>
      <c r="MYR126" s="225"/>
      <c r="MYS126" s="220"/>
      <c r="MYT126" s="221"/>
      <c r="MYU126" s="222"/>
      <c r="MYV126" s="222"/>
      <c r="MYW126" s="223"/>
      <c r="MYX126" s="223"/>
      <c r="MYY126" s="224"/>
      <c r="MYZ126" s="223"/>
      <c r="MZA126" s="223"/>
      <c r="MZB126" s="223"/>
      <c r="MZC126" s="223"/>
      <c r="MZD126" s="225"/>
      <c r="MZE126" s="220"/>
      <c r="MZF126" s="221"/>
      <c r="MZG126" s="222"/>
      <c r="MZH126" s="222"/>
      <c r="MZI126" s="223"/>
      <c r="MZJ126" s="223"/>
      <c r="MZK126" s="224"/>
      <c r="MZL126" s="223"/>
      <c r="MZM126" s="223"/>
      <c r="MZN126" s="223"/>
      <c r="MZO126" s="223"/>
      <c r="MZP126" s="225"/>
      <c r="MZQ126" s="220"/>
      <c r="MZR126" s="221"/>
      <c r="MZS126" s="222"/>
      <c r="MZT126" s="222"/>
      <c r="MZU126" s="223"/>
      <c r="MZV126" s="223"/>
      <c r="MZW126" s="224"/>
      <c r="MZX126" s="223"/>
      <c r="MZY126" s="223"/>
      <c r="MZZ126" s="223"/>
      <c r="NAA126" s="223"/>
      <c r="NAB126" s="225"/>
      <c r="NAC126" s="220"/>
      <c r="NAD126" s="221"/>
      <c r="NAE126" s="222"/>
      <c r="NAF126" s="222"/>
      <c r="NAG126" s="223"/>
      <c r="NAH126" s="223"/>
      <c r="NAI126" s="224"/>
      <c r="NAJ126" s="223"/>
      <c r="NAK126" s="223"/>
      <c r="NAL126" s="223"/>
      <c r="NAM126" s="223"/>
      <c r="NAN126" s="225"/>
      <c r="NAO126" s="220"/>
      <c r="NAP126" s="221"/>
      <c r="NAQ126" s="222"/>
      <c r="NAR126" s="222"/>
      <c r="NAS126" s="223"/>
      <c r="NAT126" s="223"/>
      <c r="NAU126" s="224"/>
      <c r="NAV126" s="223"/>
      <c r="NAW126" s="223"/>
      <c r="NAX126" s="223"/>
      <c r="NAY126" s="223"/>
      <c r="NAZ126" s="225"/>
      <c r="NBA126" s="220"/>
      <c r="NBB126" s="221"/>
      <c r="NBC126" s="222"/>
      <c r="NBD126" s="222"/>
      <c r="NBE126" s="223"/>
      <c r="NBF126" s="223"/>
      <c r="NBG126" s="224"/>
      <c r="NBH126" s="223"/>
      <c r="NBI126" s="223"/>
      <c r="NBJ126" s="223"/>
      <c r="NBK126" s="223"/>
      <c r="NBL126" s="225"/>
      <c r="NBM126" s="220"/>
      <c r="NBN126" s="221"/>
      <c r="NBO126" s="222"/>
      <c r="NBP126" s="222"/>
      <c r="NBQ126" s="223"/>
      <c r="NBR126" s="223"/>
      <c r="NBS126" s="224"/>
      <c r="NBT126" s="223"/>
      <c r="NBU126" s="223"/>
      <c r="NBV126" s="223"/>
      <c r="NBW126" s="223"/>
      <c r="NBX126" s="225"/>
      <c r="NBY126" s="220"/>
      <c r="NBZ126" s="221"/>
      <c r="NCA126" s="222"/>
      <c r="NCB126" s="222"/>
      <c r="NCC126" s="223"/>
      <c r="NCD126" s="223"/>
      <c r="NCE126" s="224"/>
      <c r="NCF126" s="223"/>
      <c r="NCG126" s="223"/>
      <c r="NCH126" s="223"/>
      <c r="NCI126" s="223"/>
      <c r="NCJ126" s="225"/>
      <c r="NCK126" s="220"/>
      <c r="NCL126" s="221"/>
      <c r="NCM126" s="222"/>
      <c r="NCN126" s="222"/>
      <c r="NCO126" s="223"/>
      <c r="NCP126" s="223"/>
      <c r="NCQ126" s="224"/>
      <c r="NCR126" s="223"/>
      <c r="NCS126" s="223"/>
      <c r="NCT126" s="223"/>
      <c r="NCU126" s="223"/>
      <c r="NCV126" s="225"/>
      <c r="NCW126" s="220"/>
      <c r="NCX126" s="221"/>
      <c r="NCY126" s="222"/>
      <c r="NCZ126" s="222"/>
      <c r="NDA126" s="223"/>
      <c r="NDB126" s="223"/>
      <c r="NDC126" s="224"/>
      <c r="NDD126" s="223"/>
      <c r="NDE126" s="223"/>
      <c r="NDF126" s="223"/>
      <c r="NDG126" s="223"/>
      <c r="NDH126" s="225"/>
      <c r="NDI126" s="220"/>
      <c r="NDJ126" s="221"/>
      <c r="NDK126" s="222"/>
      <c r="NDL126" s="222"/>
      <c r="NDM126" s="223"/>
      <c r="NDN126" s="223"/>
      <c r="NDO126" s="224"/>
      <c r="NDP126" s="223"/>
      <c r="NDQ126" s="223"/>
      <c r="NDR126" s="223"/>
      <c r="NDS126" s="223"/>
      <c r="NDT126" s="225"/>
      <c r="NDU126" s="220"/>
      <c r="NDV126" s="221"/>
      <c r="NDW126" s="222"/>
      <c r="NDX126" s="222"/>
      <c r="NDY126" s="223"/>
      <c r="NDZ126" s="223"/>
      <c r="NEA126" s="224"/>
      <c r="NEB126" s="223"/>
      <c r="NEC126" s="223"/>
      <c r="NED126" s="223"/>
      <c r="NEE126" s="223"/>
      <c r="NEF126" s="225"/>
      <c r="NEG126" s="220"/>
      <c r="NEH126" s="221"/>
      <c r="NEI126" s="222"/>
      <c r="NEJ126" s="222"/>
      <c r="NEK126" s="223"/>
      <c r="NEL126" s="223"/>
      <c r="NEM126" s="224"/>
      <c r="NEN126" s="223"/>
      <c r="NEO126" s="223"/>
      <c r="NEP126" s="223"/>
      <c r="NEQ126" s="223"/>
      <c r="NER126" s="225"/>
      <c r="NES126" s="220"/>
      <c r="NET126" s="221"/>
      <c r="NEU126" s="222"/>
      <c r="NEV126" s="222"/>
      <c r="NEW126" s="223"/>
      <c r="NEX126" s="223"/>
      <c r="NEY126" s="224"/>
      <c r="NEZ126" s="223"/>
      <c r="NFA126" s="223"/>
      <c r="NFB126" s="223"/>
      <c r="NFC126" s="223"/>
      <c r="NFD126" s="225"/>
      <c r="NFE126" s="220"/>
      <c r="NFF126" s="221"/>
      <c r="NFG126" s="222"/>
      <c r="NFH126" s="222"/>
      <c r="NFI126" s="223"/>
      <c r="NFJ126" s="223"/>
      <c r="NFK126" s="224"/>
      <c r="NFL126" s="223"/>
      <c r="NFM126" s="223"/>
      <c r="NFN126" s="223"/>
      <c r="NFO126" s="223"/>
      <c r="NFP126" s="225"/>
      <c r="NFQ126" s="220"/>
      <c r="NFR126" s="221"/>
      <c r="NFS126" s="222"/>
      <c r="NFT126" s="222"/>
      <c r="NFU126" s="223"/>
      <c r="NFV126" s="223"/>
      <c r="NFW126" s="224"/>
      <c r="NFX126" s="223"/>
      <c r="NFY126" s="223"/>
      <c r="NFZ126" s="223"/>
      <c r="NGA126" s="223"/>
      <c r="NGB126" s="225"/>
      <c r="NGC126" s="220"/>
      <c r="NGD126" s="221"/>
      <c r="NGE126" s="222"/>
      <c r="NGF126" s="222"/>
      <c r="NGG126" s="223"/>
      <c r="NGH126" s="223"/>
      <c r="NGI126" s="224"/>
      <c r="NGJ126" s="223"/>
      <c r="NGK126" s="223"/>
      <c r="NGL126" s="223"/>
      <c r="NGM126" s="223"/>
      <c r="NGN126" s="225"/>
      <c r="NGO126" s="220"/>
      <c r="NGP126" s="221"/>
      <c r="NGQ126" s="222"/>
      <c r="NGR126" s="222"/>
      <c r="NGS126" s="223"/>
      <c r="NGT126" s="223"/>
      <c r="NGU126" s="224"/>
      <c r="NGV126" s="223"/>
      <c r="NGW126" s="223"/>
      <c r="NGX126" s="223"/>
      <c r="NGY126" s="223"/>
      <c r="NGZ126" s="225"/>
      <c r="NHA126" s="220"/>
      <c r="NHB126" s="221"/>
      <c r="NHC126" s="222"/>
      <c r="NHD126" s="222"/>
      <c r="NHE126" s="223"/>
      <c r="NHF126" s="223"/>
      <c r="NHG126" s="224"/>
      <c r="NHH126" s="223"/>
      <c r="NHI126" s="223"/>
      <c r="NHJ126" s="223"/>
      <c r="NHK126" s="223"/>
      <c r="NHL126" s="225"/>
      <c r="NHM126" s="220"/>
      <c r="NHN126" s="221"/>
      <c r="NHO126" s="222"/>
      <c r="NHP126" s="222"/>
      <c r="NHQ126" s="223"/>
      <c r="NHR126" s="223"/>
      <c r="NHS126" s="224"/>
      <c r="NHT126" s="223"/>
      <c r="NHU126" s="223"/>
      <c r="NHV126" s="223"/>
      <c r="NHW126" s="223"/>
      <c r="NHX126" s="225"/>
      <c r="NHY126" s="220"/>
      <c r="NHZ126" s="221"/>
      <c r="NIA126" s="222"/>
      <c r="NIB126" s="222"/>
      <c r="NIC126" s="223"/>
      <c r="NID126" s="223"/>
      <c r="NIE126" s="224"/>
      <c r="NIF126" s="223"/>
      <c r="NIG126" s="223"/>
      <c r="NIH126" s="223"/>
      <c r="NII126" s="223"/>
      <c r="NIJ126" s="225"/>
      <c r="NIK126" s="220"/>
      <c r="NIL126" s="221"/>
      <c r="NIM126" s="222"/>
      <c r="NIN126" s="222"/>
      <c r="NIO126" s="223"/>
      <c r="NIP126" s="223"/>
      <c r="NIQ126" s="224"/>
      <c r="NIR126" s="223"/>
      <c r="NIS126" s="223"/>
      <c r="NIT126" s="223"/>
      <c r="NIU126" s="223"/>
      <c r="NIV126" s="225"/>
      <c r="NIW126" s="220"/>
      <c r="NIX126" s="221"/>
      <c r="NIY126" s="222"/>
      <c r="NIZ126" s="222"/>
      <c r="NJA126" s="223"/>
      <c r="NJB126" s="223"/>
      <c r="NJC126" s="224"/>
      <c r="NJD126" s="223"/>
      <c r="NJE126" s="223"/>
      <c r="NJF126" s="223"/>
      <c r="NJG126" s="223"/>
      <c r="NJH126" s="225"/>
      <c r="NJI126" s="220"/>
      <c r="NJJ126" s="221"/>
      <c r="NJK126" s="222"/>
      <c r="NJL126" s="222"/>
      <c r="NJM126" s="223"/>
      <c r="NJN126" s="223"/>
      <c r="NJO126" s="224"/>
      <c r="NJP126" s="223"/>
      <c r="NJQ126" s="223"/>
      <c r="NJR126" s="223"/>
      <c r="NJS126" s="223"/>
      <c r="NJT126" s="225"/>
      <c r="NJU126" s="220"/>
      <c r="NJV126" s="221"/>
      <c r="NJW126" s="222"/>
      <c r="NJX126" s="222"/>
      <c r="NJY126" s="223"/>
      <c r="NJZ126" s="223"/>
      <c r="NKA126" s="224"/>
      <c r="NKB126" s="223"/>
      <c r="NKC126" s="223"/>
      <c r="NKD126" s="223"/>
      <c r="NKE126" s="223"/>
      <c r="NKF126" s="225"/>
      <c r="NKG126" s="220"/>
      <c r="NKH126" s="221"/>
      <c r="NKI126" s="222"/>
      <c r="NKJ126" s="222"/>
      <c r="NKK126" s="223"/>
      <c r="NKL126" s="223"/>
      <c r="NKM126" s="224"/>
      <c r="NKN126" s="223"/>
      <c r="NKO126" s="223"/>
      <c r="NKP126" s="223"/>
      <c r="NKQ126" s="223"/>
      <c r="NKR126" s="225"/>
      <c r="NKS126" s="220"/>
      <c r="NKT126" s="221"/>
      <c r="NKU126" s="222"/>
      <c r="NKV126" s="222"/>
      <c r="NKW126" s="223"/>
      <c r="NKX126" s="223"/>
      <c r="NKY126" s="224"/>
      <c r="NKZ126" s="223"/>
      <c r="NLA126" s="223"/>
      <c r="NLB126" s="223"/>
      <c r="NLC126" s="223"/>
      <c r="NLD126" s="225"/>
      <c r="NLE126" s="220"/>
      <c r="NLF126" s="221"/>
      <c r="NLG126" s="222"/>
      <c r="NLH126" s="222"/>
      <c r="NLI126" s="223"/>
      <c r="NLJ126" s="223"/>
      <c r="NLK126" s="224"/>
      <c r="NLL126" s="223"/>
      <c r="NLM126" s="223"/>
      <c r="NLN126" s="223"/>
      <c r="NLO126" s="223"/>
      <c r="NLP126" s="225"/>
      <c r="NLQ126" s="220"/>
      <c r="NLR126" s="221"/>
      <c r="NLS126" s="222"/>
      <c r="NLT126" s="222"/>
      <c r="NLU126" s="223"/>
      <c r="NLV126" s="223"/>
      <c r="NLW126" s="224"/>
      <c r="NLX126" s="223"/>
      <c r="NLY126" s="223"/>
      <c r="NLZ126" s="223"/>
      <c r="NMA126" s="223"/>
      <c r="NMB126" s="225"/>
      <c r="NMC126" s="220"/>
      <c r="NMD126" s="221"/>
      <c r="NME126" s="222"/>
      <c r="NMF126" s="222"/>
      <c r="NMG126" s="223"/>
      <c r="NMH126" s="223"/>
      <c r="NMI126" s="224"/>
      <c r="NMJ126" s="223"/>
      <c r="NMK126" s="223"/>
      <c r="NML126" s="223"/>
      <c r="NMM126" s="223"/>
      <c r="NMN126" s="225"/>
      <c r="NMO126" s="220"/>
      <c r="NMP126" s="221"/>
      <c r="NMQ126" s="222"/>
      <c r="NMR126" s="222"/>
      <c r="NMS126" s="223"/>
      <c r="NMT126" s="223"/>
      <c r="NMU126" s="224"/>
      <c r="NMV126" s="223"/>
      <c r="NMW126" s="223"/>
      <c r="NMX126" s="223"/>
      <c r="NMY126" s="223"/>
      <c r="NMZ126" s="225"/>
      <c r="NNA126" s="220"/>
      <c r="NNB126" s="221"/>
      <c r="NNC126" s="222"/>
      <c r="NND126" s="222"/>
      <c r="NNE126" s="223"/>
      <c r="NNF126" s="223"/>
      <c r="NNG126" s="224"/>
      <c r="NNH126" s="223"/>
      <c r="NNI126" s="223"/>
      <c r="NNJ126" s="223"/>
      <c r="NNK126" s="223"/>
      <c r="NNL126" s="225"/>
      <c r="NNM126" s="220"/>
      <c r="NNN126" s="221"/>
      <c r="NNO126" s="222"/>
      <c r="NNP126" s="222"/>
      <c r="NNQ126" s="223"/>
      <c r="NNR126" s="223"/>
      <c r="NNS126" s="224"/>
      <c r="NNT126" s="223"/>
      <c r="NNU126" s="223"/>
      <c r="NNV126" s="223"/>
      <c r="NNW126" s="223"/>
      <c r="NNX126" s="225"/>
      <c r="NNY126" s="220"/>
      <c r="NNZ126" s="221"/>
      <c r="NOA126" s="222"/>
      <c r="NOB126" s="222"/>
      <c r="NOC126" s="223"/>
      <c r="NOD126" s="223"/>
      <c r="NOE126" s="224"/>
      <c r="NOF126" s="223"/>
      <c r="NOG126" s="223"/>
      <c r="NOH126" s="223"/>
      <c r="NOI126" s="223"/>
      <c r="NOJ126" s="225"/>
      <c r="NOK126" s="220"/>
      <c r="NOL126" s="221"/>
      <c r="NOM126" s="222"/>
      <c r="NON126" s="222"/>
      <c r="NOO126" s="223"/>
      <c r="NOP126" s="223"/>
      <c r="NOQ126" s="224"/>
      <c r="NOR126" s="223"/>
      <c r="NOS126" s="223"/>
      <c r="NOT126" s="223"/>
      <c r="NOU126" s="223"/>
      <c r="NOV126" s="225"/>
      <c r="NOW126" s="220"/>
      <c r="NOX126" s="221"/>
      <c r="NOY126" s="222"/>
      <c r="NOZ126" s="222"/>
      <c r="NPA126" s="223"/>
      <c r="NPB126" s="223"/>
      <c r="NPC126" s="224"/>
      <c r="NPD126" s="223"/>
      <c r="NPE126" s="223"/>
      <c r="NPF126" s="223"/>
      <c r="NPG126" s="223"/>
      <c r="NPH126" s="225"/>
      <c r="NPI126" s="220"/>
      <c r="NPJ126" s="221"/>
      <c r="NPK126" s="222"/>
      <c r="NPL126" s="222"/>
      <c r="NPM126" s="223"/>
      <c r="NPN126" s="223"/>
      <c r="NPO126" s="224"/>
      <c r="NPP126" s="223"/>
      <c r="NPQ126" s="223"/>
      <c r="NPR126" s="223"/>
      <c r="NPS126" s="223"/>
      <c r="NPT126" s="225"/>
      <c r="NPU126" s="220"/>
      <c r="NPV126" s="221"/>
      <c r="NPW126" s="222"/>
      <c r="NPX126" s="222"/>
      <c r="NPY126" s="223"/>
      <c r="NPZ126" s="223"/>
      <c r="NQA126" s="224"/>
      <c r="NQB126" s="223"/>
      <c r="NQC126" s="223"/>
      <c r="NQD126" s="223"/>
      <c r="NQE126" s="223"/>
      <c r="NQF126" s="225"/>
      <c r="NQG126" s="220"/>
      <c r="NQH126" s="221"/>
      <c r="NQI126" s="222"/>
      <c r="NQJ126" s="222"/>
      <c r="NQK126" s="223"/>
      <c r="NQL126" s="223"/>
      <c r="NQM126" s="224"/>
      <c r="NQN126" s="223"/>
      <c r="NQO126" s="223"/>
      <c r="NQP126" s="223"/>
      <c r="NQQ126" s="223"/>
      <c r="NQR126" s="225"/>
      <c r="NQS126" s="220"/>
      <c r="NQT126" s="221"/>
      <c r="NQU126" s="222"/>
      <c r="NQV126" s="222"/>
      <c r="NQW126" s="223"/>
      <c r="NQX126" s="223"/>
      <c r="NQY126" s="224"/>
      <c r="NQZ126" s="223"/>
      <c r="NRA126" s="223"/>
      <c r="NRB126" s="223"/>
      <c r="NRC126" s="223"/>
      <c r="NRD126" s="225"/>
      <c r="NRE126" s="220"/>
      <c r="NRF126" s="221"/>
      <c r="NRG126" s="222"/>
      <c r="NRH126" s="222"/>
      <c r="NRI126" s="223"/>
      <c r="NRJ126" s="223"/>
      <c r="NRK126" s="224"/>
      <c r="NRL126" s="223"/>
      <c r="NRM126" s="223"/>
      <c r="NRN126" s="223"/>
      <c r="NRO126" s="223"/>
      <c r="NRP126" s="225"/>
      <c r="NRQ126" s="220"/>
      <c r="NRR126" s="221"/>
      <c r="NRS126" s="222"/>
      <c r="NRT126" s="222"/>
      <c r="NRU126" s="223"/>
      <c r="NRV126" s="223"/>
      <c r="NRW126" s="224"/>
      <c r="NRX126" s="223"/>
      <c r="NRY126" s="223"/>
      <c r="NRZ126" s="223"/>
      <c r="NSA126" s="223"/>
      <c r="NSB126" s="225"/>
      <c r="NSC126" s="220"/>
      <c r="NSD126" s="221"/>
      <c r="NSE126" s="222"/>
      <c r="NSF126" s="222"/>
      <c r="NSG126" s="223"/>
      <c r="NSH126" s="223"/>
      <c r="NSI126" s="224"/>
      <c r="NSJ126" s="223"/>
      <c r="NSK126" s="223"/>
      <c r="NSL126" s="223"/>
      <c r="NSM126" s="223"/>
      <c r="NSN126" s="225"/>
      <c r="NSO126" s="220"/>
      <c r="NSP126" s="221"/>
      <c r="NSQ126" s="222"/>
      <c r="NSR126" s="222"/>
      <c r="NSS126" s="223"/>
      <c r="NST126" s="223"/>
      <c r="NSU126" s="224"/>
      <c r="NSV126" s="223"/>
      <c r="NSW126" s="223"/>
      <c r="NSX126" s="223"/>
      <c r="NSY126" s="223"/>
      <c r="NSZ126" s="225"/>
      <c r="NTA126" s="220"/>
      <c r="NTB126" s="221"/>
      <c r="NTC126" s="222"/>
      <c r="NTD126" s="222"/>
      <c r="NTE126" s="223"/>
      <c r="NTF126" s="223"/>
      <c r="NTG126" s="224"/>
      <c r="NTH126" s="223"/>
      <c r="NTI126" s="223"/>
      <c r="NTJ126" s="223"/>
      <c r="NTK126" s="223"/>
      <c r="NTL126" s="225"/>
      <c r="NTM126" s="220"/>
      <c r="NTN126" s="221"/>
      <c r="NTO126" s="222"/>
      <c r="NTP126" s="222"/>
      <c r="NTQ126" s="223"/>
      <c r="NTR126" s="223"/>
      <c r="NTS126" s="224"/>
      <c r="NTT126" s="223"/>
      <c r="NTU126" s="223"/>
      <c r="NTV126" s="223"/>
      <c r="NTW126" s="223"/>
      <c r="NTX126" s="225"/>
      <c r="NTY126" s="220"/>
      <c r="NTZ126" s="221"/>
      <c r="NUA126" s="222"/>
      <c r="NUB126" s="222"/>
      <c r="NUC126" s="223"/>
      <c r="NUD126" s="223"/>
      <c r="NUE126" s="224"/>
      <c r="NUF126" s="223"/>
      <c r="NUG126" s="223"/>
      <c r="NUH126" s="223"/>
      <c r="NUI126" s="223"/>
      <c r="NUJ126" s="225"/>
      <c r="NUK126" s="220"/>
      <c r="NUL126" s="221"/>
      <c r="NUM126" s="222"/>
      <c r="NUN126" s="222"/>
      <c r="NUO126" s="223"/>
      <c r="NUP126" s="223"/>
      <c r="NUQ126" s="224"/>
      <c r="NUR126" s="223"/>
      <c r="NUS126" s="223"/>
      <c r="NUT126" s="223"/>
      <c r="NUU126" s="223"/>
      <c r="NUV126" s="225"/>
      <c r="NUW126" s="220"/>
      <c r="NUX126" s="221"/>
      <c r="NUY126" s="222"/>
      <c r="NUZ126" s="222"/>
      <c r="NVA126" s="223"/>
      <c r="NVB126" s="223"/>
      <c r="NVC126" s="224"/>
      <c r="NVD126" s="223"/>
      <c r="NVE126" s="223"/>
      <c r="NVF126" s="223"/>
      <c r="NVG126" s="223"/>
      <c r="NVH126" s="225"/>
      <c r="NVI126" s="220"/>
      <c r="NVJ126" s="221"/>
      <c r="NVK126" s="222"/>
      <c r="NVL126" s="222"/>
      <c r="NVM126" s="223"/>
      <c r="NVN126" s="223"/>
      <c r="NVO126" s="224"/>
      <c r="NVP126" s="223"/>
      <c r="NVQ126" s="223"/>
      <c r="NVR126" s="223"/>
      <c r="NVS126" s="223"/>
      <c r="NVT126" s="225"/>
      <c r="NVU126" s="220"/>
      <c r="NVV126" s="221"/>
      <c r="NVW126" s="222"/>
      <c r="NVX126" s="222"/>
      <c r="NVY126" s="223"/>
      <c r="NVZ126" s="223"/>
      <c r="NWA126" s="224"/>
      <c r="NWB126" s="223"/>
      <c r="NWC126" s="223"/>
      <c r="NWD126" s="223"/>
      <c r="NWE126" s="223"/>
      <c r="NWF126" s="225"/>
      <c r="NWG126" s="220"/>
      <c r="NWH126" s="221"/>
      <c r="NWI126" s="222"/>
      <c r="NWJ126" s="222"/>
      <c r="NWK126" s="223"/>
      <c r="NWL126" s="223"/>
      <c r="NWM126" s="224"/>
      <c r="NWN126" s="223"/>
      <c r="NWO126" s="223"/>
      <c r="NWP126" s="223"/>
      <c r="NWQ126" s="223"/>
      <c r="NWR126" s="225"/>
      <c r="NWS126" s="220"/>
      <c r="NWT126" s="221"/>
      <c r="NWU126" s="222"/>
      <c r="NWV126" s="222"/>
      <c r="NWW126" s="223"/>
      <c r="NWX126" s="223"/>
      <c r="NWY126" s="224"/>
      <c r="NWZ126" s="223"/>
      <c r="NXA126" s="223"/>
      <c r="NXB126" s="223"/>
      <c r="NXC126" s="223"/>
      <c r="NXD126" s="225"/>
      <c r="NXE126" s="220"/>
      <c r="NXF126" s="221"/>
      <c r="NXG126" s="222"/>
      <c r="NXH126" s="222"/>
      <c r="NXI126" s="223"/>
      <c r="NXJ126" s="223"/>
      <c r="NXK126" s="224"/>
      <c r="NXL126" s="223"/>
      <c r="NXM126" s="223"/>
      <c r="NXN126" s="223"/>
      <c r="NXO126" s="223"/>
      <c r="NXP126" s="225"/>
      <c r="NXQ126" s="220"/>
      <c r="NXR126" s="221"/>
      <c r="NXS126" s="222"/>
      <c r="NXT126" s="222"/>
      <c r="NXU126" s="223"/>
      <c r="NXV126" s="223"/>
      <c r="NXW126" s="224"/>
      <c r="NXX126" s="223"/>
      <c r="NXY126" s="223"/>
      <c r="NXZ126" s="223"/>
      <c r="NYA126" s="223"/>
      <c r="NYB126" s="225"/>
      <c r="NYC126" s="220"/>
      <c r="NYD126" s="221"/>
      <c r="NYE126" s="222"/>
      <c r="NYF126" s="222"/>
      <c r="NYG126" s="223"/>
      <c r="NYH126" s="223"/>
      <c r="NYI126" s="224"/>
      <c r="NYJ126" s="223"/>
      <c r="NYK126" s="223"/>
      <c r="NYL126" s="223"/>
      <c r="NYM126" s="223"/>
      <c r="NYN126" s="225"/>
      <c r="NYO126" s="220"/>
      <c r="NYP126" s="221"/>
      <c r="NYQ126" s="222"/>
      <c r="NYR126" s="222"/>
      <c r="NYS126" s="223"/>
      <c r="NYT126" s="223"/>
      <c r="NYU126" s="224"/>
      <c r="NYV126" s="223"/>
      <c r="NYW126" s="223"/>
      <c r="NYX126" s="223"/>
      <c r="NYY126" s="223"/>
      <c r="NYZ126" s="225"/>
      <c r="NZA126" s="220"/>
      <c r="NZB126" s="221"/>
      <c r="NZC126" s="222"/>
      <c r="NZD126" s="222"/>
      <c r="NZE126" s="223"/>
      <c r="NZF126" s="223"/>
      <c r="NZG126" s="224"/>
      <c r="NZH126" s="223"/>
      <c r="NZI126" s="223"/>
      <c r="NZJ126" s="223"/>
      <c r="NZK126" s="223"/>
      <c r="NZL126" s="225"/>
      <c r="NZM126" s="220"/>
      <c r="NZN126" s="221"/>
      <c r="NZO126" s="222"/>
      <c r="NZP126" s="222"/>
      <c r="NZQ126" s="223"/>
      <c r="NZR126" s="223"/>
      <c r="NZS126" s="224"/>
      <c r="NZT126" s="223"/>
      <c r="NZU126" s="223"/>
      <c r="NZV126" s="223"/>
      <c r="NZW126" s="223"/>
      <c r="NZX126" s="225"/>
      <c r="NZY126" s="220"/>
      <c r="NZZ126" s="221"/>
      <c r="OAA126" s="222"/>
      <c r="OAB126" s="222"/>
      <c r="OAC126" s="223"/>
      <c r="OAD126" s="223"/>
      <c r="OAE126" s="224"/>
      <c r="OAF126" s="223"/>
      <c r="OAG126" s="223"/>
      <c r="OAH126" s="223"/>
      <c r="OAI126" s="223"/>
      <c r="OAJ126" s="225"/>
      <c r="OAK126" s="220"/>
      <c r="OAL126" s="221"/>
      <c r="OAM126" s="222"/>
      <c r="OAN126" s="222"/>
      <c r="OAO126" s="223"/>
      <c r="OAP126" s="223"/>
      <c r="OAQ126" s="224"/>
      <c r="OAR126" s="223"/>
      <c r="OAS126" s="223"/>
      <c r="OAT126" s="223"/>
      <c r="OAU126" s="223"/>
      <c r="OAV126" s="225"/>
      <c r="OAW126" s="220"/>
      <c r="OAX126" s="221"/>
      <c r="OAY126" s="222"/>
      <c r="OAZ126" s="222"/>
      <c r="OBA126" s="223"/>
      <c r="OBB126" s="223"/>
      <c r="OBC126" s="224"/>
      <c r="OBD126" s="223"/>
      <c r="OBE126" s="223"/>
      <c r="OBF126" s="223"/>
      <c r="OBG126" s="223"/>
      <c r="OBH126" s="225"/>
      <c r="OBI126" s="220"/>
      <c r="OBJ126" s="221"/>
      <c r="OBK126" s="222"/>
      <c r="OBL126" s="222"/>
      <c r="OBM126" s="223"/>
      <c r="OBN126" s="223"/>
      <c r="OBO126" s="224"/>
      <c r="OBP126" s="223"/>
      <c r="OBQ126" s="223"/>
      <c r="OBR126" s="223"/>
      <c r="OBS126" s="223"/>
      <c r="OBT126" s="225"/>
      <c r="OBU126" s="220"/>
      <c r="OBV126" s="221"/>
      <c r="OBW126" s="222"/>
      <c r="OBX126" s="222"/>
      <c r="OBY126" s="223"/>
      <c r="OBZ126" s="223"/>
      <c r="OCA126" s="224"/>
      <c r="OCB126" s="223"/>
      <c r="OCC126" s="223"/>
      <c r="OCD126" s="223"/>
      <c r="OCE126" s="223"/>
      <c r="OCF126" s="225"/>
      <c r="OCG126" s="220"/>
      <c r="OCH126" s="221"/>
      <c r="OCI126" s="222"/>
      <c r="OCJ126" s="222"/>
      <c r="OCK126" s="223"/>
      <c r="OCL126" s="223"/>
      <c r="OCM126" s="224"/>
      <c r="OCN126" s="223"/>
      <c r="OCO126" s="223"/>
      <c r="OCP126" s="223"/>
      <c r="OCQ126" s="223"/>
      <c r="OCR126" s="225"/>
      <c r="OCS126" s="220"/>
      <c r="OCT126" s="221"/>
      <c r="OCU126" s="222"/>
      <c r="OCV126" s="222"/>
      <c r="OCW126" s="223"/>
      <c r="OCX126" s="223"/>
      <c r="OCY126" s="224"/>
      <c r="OCZ126" s="223"/>
      <c r="ODA126" s="223"/>
      <c r="ODB126" s="223"/>
      <c r="ODC126" s="223"/>
      <c r="ODD126" s="225"/>
      <c r="ODE126" s="220"/>
      <c r="ODF126" s="221"/>
      <c r="ODG126" s="222"/>
      <c r="ODH126" s="222"/>
      <c r="ODI126" s="223"/>
      <c r="ODJ126" s="223"/>
      <c r="ODK126" s="224"/>
      <c r="ODL126" s="223"/>
      <c r="ODM126" s="223"/>
      <c r="ODN126" s="223"/>
      <c r="ODO126" s="223"/>
      <c r="ODP126" s="225"/>
      <c r="ODQ126" s="220"/>
      <c r="ODR126" s="221"/>
      <c r="ODS126" s="222"/>
      <c r="ODT126" s="222"/>
      <c r="ODU126" s="223"/>
      <c r="ODV126" s="223"/>
      <c r="ODW126" s="224"/>
      <c r="ODX126" s="223"/>
      <c r="ODY126" s="223"/>
      <c r="ODZ126" s="223"/>
      <c r="OEA126" s="223"/>
      <c r="OEB126" s="225"/>
      <c r="OEC126" s="220"/>
      <c r="OED126" s="221"/>
      <c r="OEE126" s="222"/>
      <c r="OEF126" s="222"/>
      <c r="OEG126" s="223"/>
      <c r="OEH126" s="223"/>
      <c r="OEI126" s="224"/>
      <c r="OEJ126" s="223"/>
      <c r="OEK126" s="223"/>
      <c r="OEL126" s="223"/>
      <c r="OEM126" s="223"/>
      <c r="OEN126" s="225"/>
      <c r="OEO126" s="220"/>
      <c r="OEP126" s="221"/>
      <c r="OEQ126" s="222"/>
      <c r="OER126" s="222"/>
      <c r="OES126" s="223"/>
      <c r="OET126" s="223"/>
      <c r="OEU126" s="224"/>
      <c r="OEV126" s="223"/>
      <c r="OEW126" s="223"/>
      <c r="OEX126" s="223"/>
      <c r="OEY126" s="223"/>
      <c r="OEZ126" s="225"/>
      <c r="OFA126" s="220"/>
      <c r="OFB126" s="221"/>
      <c r="OFC126" s="222"/>
      <c r="OFD126" s="222"/>
      <c r="OFE126" s="223"/>
      <c r="OFF126" s="223"/>
      <c r="OFG126" s="224"/>
      <c r="OFH126" s="223"/>
      <c r="OFI126" s="223"/>
      <c r="OFJ126" s="223"/>
      <c r="OFK126" s="223"/>
      <c r="OFL126" s="225"/>
      <c r="OFM126" s="220"/>
      <c r="OFN126" s="221"/>
      <c r="OFO126" s="222"/>
      <c r="OFP126" s="222"/>
      <c r="OFQ126" s="223"/>
      <c r="OFR126" s="223"/>
      <c r="OFS126" s="224"/>
      <c r="OFT126" s="223"/>
      <c r="OFU126" s="223"/>
      <c r="OFV126" s="223"/>
      <c r="OFW126" s="223"/>
      <c r="OFX126" s="225"/>
      <c r="OFY126" s="220"/>
      <c r="OFZ126" s="221"/>
      <c r="OGA126" s="222"/>
      <c r="OGB126" s="222"/>
      <c r="OGC126" s="223"/>
      <c r="OGD126" s="223"/>
      <c r="OGE126" s="224"/>
      <c r="OGF126" s="223"/>
      <c r="OGG126" s="223"/>
      <c r="OGH126" s="223"/>
      <c r="OGI126" s="223"/>
      <c r="OGJ126" s="225"/>
      <c r="OGK126" s="220"/>
      <c r="OGL126" s="221"/>
      <c r="OGM126" s="222"/>
      <c r="OGN126" s="222"/>
      <c r="OGO126" s="223"/>
      <c r="OGP126" s="223"/>
      <c r="OGQ126" s="224"/>
      <c r="OGR126" s="223"/>
      <c r="OGS126" s="223"/>
      <c r="OGT126" s="223"/>
      <c r="OGU126" s="223"/>
      <c r="OGV126" s="225"/>
      <c r="OGW126" s="220"/>
      <c r="OGX126" s="221"/>
      <c r="OGY126" s="222"/>
      <c r="OGZ126" s="222"/>
      <c r="OHA126" s="223"/>
      <c r="OHB126" s="223"/>
      <c r="OHC126" s="224"/>
      <c r="OHD126" s="223"/>
      <c r="OHE126" s="223"/>
      <c r="OHF126" s="223"/>
      <c r="OHG126" s="223"/>
      <c r="OHH126" s="225"/>
      <c r="OHI126" s="220"/>
      <c r="OHJ126" s="221"/>
      <c r="OHK126" s="222"/>
      <c r="OHL126" s="222"/>
      <c r="OHM126" s="223"/>
      <c r="OHN126" s="223"/>
      <c r="OHO126" s="224"/>
      <c r="OHP126" s="223"/>
      <c r="OHQ126" s="223"/>
      <c r="OHR126" s="223"/>
      <c r="OHS126" s="223"/>
      <c r="OHT126" s="225"/>
      <c r="OHU126" s="220"/>
      <c r="OHV126" s="221"/>
      <c r="OHW126" s="222"/>
      <c r="OHX126" s="222"/>
      <c r="OHY126" s="223"/>
      <c r="OHZ126" s="223"/>
      <c r="OIA126" s="224"/>
      <c r="OIB126" s="223"/>
      <c r="OIC126" s="223"/>
      <c r="OID126" s="223"/>
      <c r="OIE126" s="223"/>
      <c r="OIF126" s="225"/>
      <c r="OIG126" s="220"/>
      <c r="OIH126" s="221"/>
      <c r="OII126" s="222"/>
      <c r="OIJ126" s="222"/>
      <c r="OIK126" s="223"/>
      <c r="OIL126" s="223"/>
      <c r="OIM126" s="224"/>
      <c r="OIN126" s="223"/>
      <c r="OIO126" s="223"/>
      <c r="OIP126" s="223"/>
      <c r="OIQ126" s="223"/>
      <c r="OIR126" s="225"/>
      <c r="OIS126" s="220"/>
      <c r="OIT126" s="221"/>
      <c r="OIU126" s="222"/>
      <c r="OIV126" s="222"/>
      <c r="OIW126" s="223"/>
      <c r="OIX126" s="223"/>
      <c r="OIY126" s="224"/>
      <c r="OIZ126" s="223"/>
      <c r="OJA126" s="223"/>
      <c r="OJB126" s="223"/>
      <c r="OJC126" s="223"/>
      <c r="OJD126" s="225"/>
      <c r="OJE126" s="220"/>
      <c r="OJF126" s="221"/>
      <c r="OJG126" s="222"/>
      <c r="OJH126" s="222"/>
      <c r="OJI126" s="223"/>
      <c r="OJJ126" s="223"/>
      <c r="OJK126" s="224"/>
      <c r="OJL126" s="223"/>
      <c r="OJM126" s="223"/>
      <c r="OJN126" s="223"/>
      <c r="OJO126" s="223"/>
      <c r="OJP126" s="225"/>
      <c r="OJQ126" s="220"/>
      <c r="OJR126" s="221"/>
      <c r="OJS126" s="222"/>
      <c r="OJT126" s="222"/>
      <c r="OJU126" s="223"/>
      <c r="OJV126" s="223"/>
      <c r="OJW126" s="224"/>
      <c r="OJX126" s="223"/>
      <c r="OJY126" s="223"/>
      <c r="OJZ126" s="223"/>
      <c r="OKA126" s="223"/>
      <c r="OKB126" s="225"/>
      <c r="OKC126" s="220"/>
      <c r="OKD126" s="221"/>
      <c r="OKE126" s="222"/>
      <c r="OKF126" s="222"/>
      <c r="OKG126" s="223"/>
      <c r="OKH126" s="223"/>
      <c r="OKI126" s="224"/>
      <c r="OKJ126" s="223"/>
      <c r="OKK126" s="223"/>
      <c r="OKL126" s="223"/>
      <c r="OKM126" s="223"/>
      <c r="OKN126" s="225"/>
      <c r="OKO126" s="220"/>
      <c r="OKP126" s="221"/>
      <c r="OKQ126" s="222"/>
      <c r="OKR126" s="222"/>
      <c r="OKS126" s="223"/>
      <c r="OKT126" s="223"/>
      <c r="OKU126" s="224"/>
      <c r="OKV126" s="223"/>
      <c r="OKW126" s="223"/>
      <c r="OKX126" s="223"/>
      <c r="OKY126" s="223"/>
      <c r="OKZ126" s="225"/>
      <c r="OLA126" s="220"/>
      <c r="OLB126" s="221"/>
      <c r="OLC126" s="222"/>
      <c r="OLD126" s="222"/>
      <c r="OLE126" s="223"/>
      <c r="OLF126" s="223"/>
      <c r="OLG126" s="224"/>
      <c r="OLH126" s="223"/>
      <c r="OLI126" s="223"/>
      <c r="OLJ126" s="223"/>
      <c r="OLK126" s="223"/>
      <c r="OLL126" s="225"/>
      <c r="OLM126" s="220"/>
      <c r="OLN126" s="221"/>
      <c r="OLO126" s="222"/>
      <c r="OLP126" s="222"/>
      <c r="OLQ126" s="223"/>
      <c r="OLR126" s="223"/>
      <c r="OLS126" s="224"/>
      <c r="OLT126" s="223"/>
      <c r="OLU126" s="223"/>
      <c r="OLV126" s="223"/>
      <c r="OLW126" s="223"/>
      <c r="OLX126" s="225"/>
      <c r="OLY126" s="220"/>
      <c r="OLZ126" s="221"/>
      <c r="OMA126" s="222"/>
      <c r="OMB126" s="222"/>
      <c r="OMC126" s="223"/>
      <c r="OMD126" s="223"/>
      <c r="OME126" s="224"/>
      <c r="OMF126" s="223"/>
      <c r="OMG126" s="223"/>
      <c r="OMH126" s="223"/>
      <c r="OMI126" s="223"/>
      <c r="OMJ126" s="225"/>
      <c r="OMK126" s="220"/>
      <c r="OML126" s="221"/>
      <c r="OMM126" s="222"/>
      <c r="OMN126" s="222"/>
      <c r="OMO126" s="223"/>
      <c r="OMP126" s="223"/>
      <c r="OMQ126" s="224"/>
      <c r="OMR126" s="223"/>
      <c r="OMS126" s="223"/>
      <c r="OMT126" s="223"/>
      <c r="OMU126" s="223"/>
      <c r="OMV126" s="225"/>
      <c r="OMW126" s="220"/>
      <c r="OMX126" s="221"/>
      <c r="OMY126" s="222"/>
      <c r="OMZ126" s="222"/>
      <c r="ONA126" s="223"/>
      <c r="ONB126" s="223"/>
      <c r="ONC126" s="224"/>
      <c r="OND126" s="223"/>
      <c r="ONE126" s="223"/>
      <c r="ONF126" s="223"/>
      <c r="ONG126" s="223"/>
      <c r="ONH126" s="225"/>
      <c r="ONI126" s="220"/>
      <c r="ONJ126" s="221"/>
      <c r="ONK126" s="222"/>
      <c r="ONL126" s="222"/>
      <c r="ONM126" s="223"/>
      <c r="ONN126" s="223"/>
      <c r="ONO126" s="224"/>
      <c r="ONP126" s="223"/>
      <c r="ONQ126" s="223"/>
      <c r="ONR126" s="223"/>
      <c r="ONS126" s="223"/>
      <c r="ONT126" s="225"/>
      <c r="ONU126" s="220"/>
      <c r="ONV126" s="221"/>
      <c r="ONW126" s="222"/>
      <c r="ONX126" s="222"/>
      <c r="ONY126" s="223"/>
      <c r="ONZ126" s="223"/>
      <c r="OOA126" s="224"/>
      <c r="OOB126" s="223"/>
      <c r="OOC126" s="223"/>
      <c r="OOD126" s="223"/>
      <c r="OOE126" s="223"/>
      <c r="OOF126" s="225"/>
      <c r="OOG126" s="220"/>
      <c r="OOH126" s="221"/>
      <c r="OOI126" s="222"/>
      <c r="OOJ126" s="222"/>
      <c r="OOK126" s="223"/>
      <c r="OOL126" s="223"/>
      <c r="OOM126" s="224"/>
      <c r="OON126" s="223"/>
      <c r="OOO126" s="223"/>
      <c r="OOP126" s="223"/>
      <c r="OOQ126" s="223"/>
      <c r="OOR126" s="225"/>
      <c r="OOS126" s="220"/>
      <c r="OOT126" s="221"/>
      <c r="OOU126" s="222"/>
      <c r="OOV126" s="222"/>
      <c r="OOW126" s="223"/>
      <c r="OOX126" s="223"/>
      <c r="OOY126" s="224"/>
      <c r="OOZ126" s="223"/>
      <c r="OPA126" s="223"/>
      <c r="OPB126" s="223"/>
      <c r="OPC126" s="223"/>
      <c r="OPD126" s="225"/>
      <c r="OPE126" s="220"/>
      <c r="OPF126" s="221"/>
      <c r="OPG126" s="222"/>
      <c r="OPH126" s="222"/>
      <c r="OPI126" s="223"/>
      <c r="OPJ126" s="223"/>
      <c r="OPK126" s="224"/>
      <c r="OPL126" s="223"/>
      <c r="OPM126" s="223"/>
      <c r="OPN126" s="223"/>
      <c r="OPO126" s="223"/>
      <c r="OPP126" s="225"/>
      <c r="OPQ126" s="220"/>
      <c r="OPR126" s="221"/>
      <c r="OPS126" s="222"/>
      <c r="OPT126" s="222"/>
      <c r="OPU126" s="223"/>
      <c r="OPV126" s="223"/>
      <c r="OPW126" s="224"/>
      <c r="OPX126" s="223"/>
      <c r="OPY126" s="223"/>
      <c r="OPZ126" s="223"/>
      <c r="OQA126" s="223"/>
      <c r="OQB126" s="225"/>
      <c r="OQC126" s="220"/>
      <c r="OQD126" s="221"/>
      <c r="OQE126" s="222"/>
      <c r="OQF126" s="222"/>
      <c r="OQG126" s="223"/>
      <c r="OQH126" s="223"/>
      <c r="OQI126" s="224"/>
      <c r="OQJ126" s="223"/>
      <c r="OQK126" s="223"/>
      <c r="OQL126" s="223"/>
      <c r="OQM126" s="223"/>
      <c r="OQN126" s="225"/>
      <c r="OQO126" s="220"/>
      <c r="OQP126" s="221"/>
      <c r="OQQ126" s="222"/>
      <c r="OQR126" s="222"/>
      <c r="OQS126" s="223"/>
      <c r="OQT126" s="223"/>
      <c r="OQU126" s="224"/>
      <c r="OQV126" s="223"/>
      <c r="OQW126" s="223"/>
      <c r="OQX126" s="223"/>
      <c r="OQY126" s="223"/>
      <c r="OQZ126" s="225"/>
      <c r="ORA126" s="220"/>
      <c r="ORB126" s="221"/>
      <c r="ORC126" s="222"/>
      <c r="ORD126" s="222"/>
      <c r="ORE126" s="223"/>
      <c r="ORF126" s="223"/>
      <c r="ORG126" s="224"/>
      <c r="ORH126" s="223"/>
      <c r="ORI126" s="223"/>
      <c r="ORJ126" s="223"/>
      <c r="ORK126" s="223"/>
      <c r="ORL126" s="225"/>
      <c r="ORM126" s="220"/>
      <c r="ORN126" s="221"/>
      <c r="ORO126" s="222"/>
      <c r="ORP126" s="222"/>
      <c r="ORQ126" s="223"/>
      <c r="ORR126" s="223"/>
      <c r="ORS126" s="224"/>
      <c r="ORT126" s="223"/>
      <c r="ORU126" s="223"/>
      <c r="ORV126" s="223"/>
      <c r="ORW126" s="223"/>
      <c r="ORX126" s="225"/>
      <c r="ORY126" s="220"/>
      <c r="ORZ126" s="221"/>
      <c r="OSA126" s="222"/>
      <c r="OSB126" s="222"/>
      <c r="OSC126" s="223"/>
      <c r="OSD126" s="223"/>
      <c r="OSE126" s="224"/>
      <c r="OSF126" s="223"/>
      <c r="OSG126" s="223"/>
      <c r="OSH126" s="223"/>
      <c r="OSI126" s="223"/>
      <c r="OSJ126" s="225"/>
      <c r="OSK126" s="220"/>
      <c r="OSL126" s="221"/>
      <c r="OSM126" s="222"/>
      <c r="OSN126" s="222"/>
      <c r="OSO126" s="223"/>
      <c r="OSP126" s="223"/>
      <c r="OSQ126" s="224"/>
      <c r="OSR126" s="223"/>
      <c r="OSS126" s="223"/>
      <c r="OST126" s="223"/>
      <c r="OSU126" s="223"/>
      <c r="OSV126" s="225"/>
      <c r="OSW126" s="220"/>
      <c r="OSX126" s="221"/>
      <c r="OSY126" s="222"/>
      <c r="OSZ126" s="222"/>
      <c r="OTA126" s="223"/>
      <c r="OTB126" s="223"/>
      <c r="OTC126" s="224"/>
      <c r="OTD126" s="223"/>
      <c r="OTE126" s="223"/>
      <c r="OTF126" s="223"/>
      <c r="OTG126" s="223"/>
      <c r="OTH126" s="225"/>
      <c r="OTI126" s="220"/>
      <c r="OTJ126" s="221"/>
      <c r="OTK126" s="222"/>
      <c r="OTL126" s="222"/>
      <c r="OTM126" s="223"/>
      <c r="OTN126" s="223"/>
      <c r="OTO126" s="224"/>
      <c r="OTP126" s="223"/>
      <c r="OTQ126" s="223"/>
      <c r="OTR126" s="223"/>
      <c r="OTS126" s="223"/>
      <c r="OTT126" s="225"/>
      <c r="OTU126" s="220"/>
      <c r="OTV126" s="221"/>
      <c r="OTW126" s="222"/>
      <c r="OTX126" s="222"/>
      <c r="OTY126" s="223"/>
      <c r="OTZ126" s="223"/>
      <c r="OUA126" s="224"/>
      <c r="OUB126" s="223"/>
      <c r="OUC126" s="223"/>
      <c r="OUD126" s="223"/>
      <c r="OUE126" s="223"/>
      <c r="OUF126" s="225"/>
      <c r="OUG126" s="220"/>
      <c r="OUH126" s="221"/>
      <c r="OUI126" s="222"/>
      <c r="OUJ126" s="222"/>
      <c r="OUK126" s="223"/>
      <c r="OUL126" s="223"/>
      <c r="OUM126" s="224"/>
      <c r="OUN126" s="223"/>
      <c r="OUO126" s="223"/>
      <c r="OUP126" s="223"/>
      <c r="OUQ126" s="223"/>
      <c r="OUR126" s="225"/>
      <c r="OUS126" s="220"/>
      <c r="OUT126" s="221"/>
      <c r="OUU126" s="222"/>
      <c r="OUV126" s="222"/>
      <c r="OUW126" s="223"/>
      <c r="OUX126" s="223"/>
      <c r="OUY126" s="224"/>
      <c r="OUZ126" s="223"/>
      <c r="OVA126" s="223"/>
      <c r="OVB126" s="223"/>
      <c r="OVC126" s="223"/>
      <c r="OVD126" s="225"/>
      <c r="OVE126" s="220"/>
      <c r="OVF126" s="221"/>
      <c r="OVG126" s="222"/>
      <c r="OVH126" s="222"/>
      <c r="OVI126" s="223"/>
      <c r="OVJ126" s="223"/>
      <c r="OVK126" s="224"/>
      <c r="OVL126" s="223"/>
      <c r="OVM126" s="223"/>
      <c r="OVN126" s="223"/>
      <c r="OVO126" s="223"/>
      <c r="OVP126" s="225"/>
      <c r="OVQ126" s="220"/>
      <c r="OVR126" s="221"/>
      <c r="OVS126" s="222"/>
      <c r="OVT126" s="222"/>
      <c r="OVU126" s="223"/>
      <c r="OVV126" s="223"/>
      <c r="OVW126" s="224"/>
      <c r="OVX126" s="223"/>
      <c r="OVY126" s="223"/>
      <c r="OVZ126" s="223"/>
      <c r="OWA126" s="223"/>
      <c r="OWB126" s="225"/>
      <c r="OWC126" s="220"/>
      <c r="OWD126" s="221"/>
      <c r="OWE126" s="222"/>
      <c r="OWF126" s="222"/>
      <c r="OWG126" s="223"/>
      <c r="OWH126" s="223"/>
      <c r="OWI126" s="224"/>
      <c r="OWJ126" s="223"/>
      <c r="OWK126" s="223"/>
      <c r="OWL126" s="223"/>
      <c r="OWM126" s="223"/>
      <c r="OWN126" s="225"/>
      <c r="OWO126" s="220"/>
      <c r="OWP126" s="221"/>
      <c r="OWQ126" s="222"/>
      <c r="OWR126" s="222"/>
      <c r="OWS126" s="223"/>
      <c r="OWT126" s="223"/>
      <c r="OWU126" s="224"/>
      <c r="OWV126" s="223"/>
      <c r="OWW126" s="223"/>
      <c r="OWX126" s="223"/>
      <c r="OWY126" s="223"/>
      <c r="OWZ126" s="225"/>
      <c r="OXA126" s="220"/>
      <c r="OXB126" s="221"/>
      <c r="OXC126" s="222"/>
      <c r="OXD126" s="222"/>
      <c r="OXE126" s="223"/>
      <c r="OXF126" s="223"/>
      <c r="OXG126" s="224"/>
      <c r="OXH126" s="223"/>
      <c r="OXI126" s="223"/>
      <c r="OXJ126" s="223"/>
      <c r="OXK126" s="223"/>
      <c r="OXL126" s="225"/>
      <c r="OXM126" s="220"/>
      <c r="OXN126" s="221"/>
      <c r="OXO126" s="222"/>
      <c r="OXP126" s="222"/>
      <c r="OXQ126" s="223"/>
      <c r="OXR126" s="223"/>
      <c r="OXS126" s="224"/>
      <c r="OXT126" s="223"/>
      <c r="OXU126" s="223"/>
      <c r="OXV126" s="223"/>
      <c r="OXW126" s="223"/>
      <c r="OXX126" s="225"/>
      <c r="OXY126" s="220"/>
      <c r="OXZ126" s="221"/>
      <c r="OYA126" s="222"/>
      <c r="OYB126" s="222"/>
      <c r="OYC126" s="223"/>
      <c r="OYD126" s="223"/>
      <c r="OYE126" s="224"/>
      <c r="OYF126" s="223"/>
      <c r="OYG126" s="223"/>
      <c r="OYH126" s="223"/>
      <c r="OYI126" s="223"/>
      <c r="OYJ126" s="225"/>
      <c r="OYK126" s="220"/>
      <c r="OYL126" s="221"/>
      <c r="OYM126" s="222"/>
      <c r="OYN126" s="222"/>
      <c r="OYO126" s="223"/>
      <c r="OYP126" s="223"/>
      <c r="OYQ126" s="224"/>
      <c r="OYR126" s="223"/>
      <c r="OYS126" s="223"/>
      <c r="OYT126" s="223"/>
      <c r="OYU126" s="223"/>
      <c r="OYV126" s="225"/>
      <c r="OYW126" s="220"/>
      <c r="OYX126" s="221"/>
      <c r="OYY126" s="222"/>
      <c r="OYZ126" s="222"/>
      <c r="OZA126" s="223"/>
      <c r="OZB126" s="223"/>
      <c r="OZC126" s="224"/>
      <c r="OZD126" s="223"/>
      <c r="OZE126" s="223"/>
      <c r="OZF126" s="223"/>
      <c r="OZG126" s="223"/>
      <c r="OZH126" s="225"/>
      <c r="OZI126" s="220"/>
      <c r="OZJ126" s="221"/>
      <c r="OZK126" s="222"/>
      <c r="OZL126" s="222"/>
      <c r="OZM126" s="223"/>
      <c r="OZN126" s="223"/>
      <c r="OZO126" s="224"/>
      <c r="OZP126" s="223"/>
      <c r="OZQ126" s="223"/>
      <c r="OZR126" s="223"/>
      <c r="OZS126" s="223"/>
      <c r="OZT126" s="225"/>
      <c r="OZU126" s="220"/>
      <c r="OZV126" s="221"/>
      <c r="OZW126" s="222"/>
      <c r="OZX126" s="222"/>
      <c r="OZY126" s="223"/>
      <c r="OZZ126" s="223"/>
      <c r="PAA126" s="224"/>
      <c r="PAB126" s="223"/>
      <c r="PAC126" s="223"/>
      <c r="PAD126" s="223"/>
      <c r="PAE126" s="223"/>
      <c r="PAF126" s="225"/>
      <c r="PAG126" s="220"/>
      <c r="PAH126" s="221"/>
      <c r="PAI126" s="222"/>
      <c r="PAJ126" s="222"/>
      <c r="PAK126" s="223"/>
      <c r="PAL126" s="223"/>
      <c r="PAM126" s="224"/>
      <c r="PAN126" s="223"/>
      <c r="PAO126" s="223"/>
      <c r="PAP126" s="223"/>
      <c r="PAQ126" s="223"/>
      <c r="PAR126" s="225"/>
      <c r="PAS126" s="220"/>
      <c r="PAT126" s="221"/>
      <c r="PAU126" s="222"/>
      <c r="PAV126" s="222"/>
      <c r="PAW126" s="223"/>
      <c r="PAX126" s="223"/>
      <c r="PAY126" s="224"/>
      <c r="PAZ126" s="223"/>
      <c r="PBA126" s="223"/>
      <c r="PBB126" s="223"/>
      <c r="PBC126" s="223"/>
      <c r="PBD126" s="225"/>
      <c r="PBE126" s="220"/>
      <c r="PBF126" s="221"/>
      <c r="PBG126" s="222"/>
      <c r="PBH126" s="222"/>
      <c r="PBI126" s="223"/>
      <c r="PBJ126" s="223"/>
      <c r="PBK126" s="224"/>
      <c r="PBL126" s="223"/>
      <c r="PBM126" s="223"/>
      <c r="PBN126" s="223"/>
      <c r="PBO126" s="223"/>
      <c r="PBP126" s="225"/>
      <c r="PBQ126" s="220"/>
      <c r="PBR126" s="221"/>
      <c r="PBS126" s="222"/>
      <c r="PBT126" s="222"/>
      <c r="PBU126" s="223"/>
      <c r="PBV126" s="223"/>
      <c r="PBW126" s="224"/>
      <c r="PBX126" s="223"/>
      <c r="PBY126" s="223"/>
      <c r="PBZ126" s="223"/>
      <c r="PCA126" s="223"/>
      <c r="PCB126" s="225"/>
      <c r="PCC126" s="220"/>
      <c r="PCD126" s="221"/>
      <c r="PCE126" s="222"/>
      <c r="PCF126" s="222"/>
      <c r="PCG126" s="223"/>
      <c r="PCH126" s="223"/>
      <c r="PCI126" s="224"/>
      <c r="PCJ126" s="223"/>
      <c r="PCK126" s="223"/>
      <c r="PCL126" s="223"/>
      <c r="PCM126" s="223"/>
      <c r="PCN126" s="225"/>
      <c r="PCO126" s="220"/>
      <c r="PCP126" s="221"/>
      <c r="PCQ126" s="222"/>
      <c r="PCR126" s="222"/>
      <c r="PCS126" s="223"/>
      <c r="PCT126" s="223"/>
      <c r="PCU126" s="224"/>
      <c r="PCV126" s="223"/>
      <c r="PCW126" s="223"/>
      <c r="PCX126" s="223"/>
      <c r="PCY126" s="223"/>
      <c r="PCZ126" s="225"/>
      <c r="PDA126" s="220"/>
      <c r="PDB126" s="221"/>
      <c r="PDC126" s="222"/>
      <c r="PDD126" s="222"/>
      <c r="PDE126" s="223"/>
      <c r="PDF126" s="223"/>
      <c r="PDG126" s="224"/>
      <c r="PDH126" s="223"/>
      <c r="PDI126" s="223"/>
      <c r="PDJ126" s="223"/>
      <c r="PDK126" s="223"/>
      <c r="PDL126" s="225"/>
      <c r="PDM126" s="220"/>
      <c r="PDN126" s="221"/>
      <c r="PDO126" s="222"/>
      <c r="PDP126" s="222"/>
      <c r="PDQ126" s="223"/>
      <c r="PDR126" s="223"/>
      <c r="PDS126" s="224"/>
      <c r="PDT126" s="223"/>
      <c r="PDU126" s="223"/>
      <c r="PDV126" s="223"/>
      <c r="PDW126" s="223"/>
      <c r="PDX126" s="225"/>
      <c r="PDY126" s="220"/>
      <c r="PDZ126" s="221"/>
      <c r="PEA126" s="222"/>
      <c r="PEB126" s="222"/>
      <c r="PEC126" s="223"/>
      <c r="PED126" s="223"/>
      <c r="PEE126" s="224"/>
      <c r="PEF126" s="223"/>
      <c r="PEG126" s="223"/>
      <c r="PEH126" s="223"/>
      <c r="PEI126" s="223"/>
      <c r="PEJ126" s="225"/>
      <c r="PEK126" s="220"/>
      <c r="PEL126" s="221"/>
      <c r="PEM126" s="222"/>
      <c r="PEN126" s="222"/>
      <c r="PEO126" s="223"/>
      <c r="PEP126" s="223"/>
      <c r="PEQ126" s="224"/>
      <c r="PER126" s="223"/>
      <c r="PES126" s="223"/>
      <c r="PET126" s="223"/>
      <c r="PEU126" s="223"/>
      <c r="PEV126" s="225"/>
      <c r="PEW126" s="220"/>
      <c r="PEX126" s="221"/>
      <c r="PEY126" s="222"/>
      <c r="PEZ126" s="222"/>
      <c r="PFA126" s="223"/>
      <c r="PFB126" s="223"/>
      <c r="PFC126" s="224"/>
      <c r="PFD126" s="223"/>
      <c r="PFE126" s="223"/>
      <c r="PFF126" s="223"/>
      <c r="PFG126" s="223"/>
      <c r="PFH126" s="225"/>
      <c r="PFI126" s="220"/>
      <c r="PFJ126" s="221"/>
      <c r="PFK126" s="222"/>
      <c r="PFL126" s="222"/>
      <c r="PFM126" s="223"/>
      <c r="PFN126" s="223"/>
      <c r="PFO126" s="224"/>
      <c r="PFP126" s="223"/>
      <c r="PFQ126" s="223"/>
      <c r="PFR126" s="223"/>
      <c r="PFS126" s="223"/>
      <c r="PFT126" s="225"/>
      <c r="PFU126" s="220"/>
      <c r="PFV126" s="221"/>
      <c r="PFW126" s="222"/>
      <c r="PFX126" s="222"/>
      <c r="PFY126" s="223"/>
      <c r="PFZ126" s="223"/>
      <c r="PGA126" s="224"/>
      <c r="PGB126" s="223"/>
      <c r="PGC126" s="223"/>
      <c r="PGD126" s="223"/>
      <c r="PGE126" s="223"/>
      <c r="PGF126" s="225"/>
      <c r="PGG126" s="220"/>
      <c r="PGH126" s="221"/>
      <c r="PGI126" s="222"/>
      <c r="PGJ126" s="222"/>
      <c r="PGK126" s="223"/>
      <c r="PGL126" s="223"/>
      <c r="PGM126" s="224"/>
      <c r="PGN126" s="223"/>
      <c r="PGO126" s="223"/>
      <c r="PGP126" s="223"/>
      <c r="PGQ126" s="223"/>
      <c r="PGR126" s="225"/>
      <c r="PGS126" s="220"/>
      <c r="PGT126" s="221"/>
      <c r="PGU126" s="222"/>
      <c r="PGV126" s="222"/>
      <c r="PGW126" s="223"/>
      <c r="PGX126" s="223"/>
      <c r="PGY126" s="224"/>
      <c r="PGZ126" s="223"/>
      <c r="PHA126" s="223"/>
      <c r="PHB126" s="223"/>
      <c r="PHC126" s="223"/>
      <c r="PHD126" s="225"/>
      <c r="PHE126" s="220"/>
      <c r="PHF126" s="221"/>
      <c r="PHG126" s="222"/>
      <c r="PHH126" s="222"/>
      <c r="PHI126" s="223"/>
      <c r="PHJ126" s="223"/>
      <c r="PHK126" s="224"/>
      <c r="PHL126" s="223"/>
      <c r="PHM126" s="223"/>
      <c r="PHN126" s="223"/>
      <c r="PHO126" s="223"/>
      <c r="PHP126" s="225"/>
      <c r="PHQ126" s="220"/>
      <c r="PHR126" s="221"/>
      <c r="PHS126" s="222"/>
      <c r="PHT126" s="222"/>
      <c r="PHU126" s="223"/>
      <c r="PHV126" s="223"/>
      <c r="PHW126" s="224"/>
      <c r="PHX126" s="223"/>
      <c r="PHY126" s="223"/>
      <c r="PHZ126" s="223"/>
      <c r="PIA126" s="223"/>
      <c r="PIB126" s="225"/>
      <c r="PIC126" s="220"/>
      <c r="PID126" s="221"/>
      <c r="PIE126" s="222"/>
      <c r="PIF126" s="222"/>
      <c r="PIG126" s="223"/>
      <c r="PIH126" s="223"/>
      <c r="PII126" s="224"/>
      <c r="PIJ126" s="223"/>
      <c r="PIK126" s="223"/>
      <c r="PIL126" s="223"/>
      <c r="PIM126" s="223"/>
      <c r="PIN126" s="225"/>
      <c r="PIO126" s="220"/>
      <c r="PIP126" s="221"/>
      <c r="PIQ126" s="222"/>
      <c r="PIR126" s="222"/>
      <c r="PIS126" s="223"/>
      <c r="PIT126" s="223"/>
      <c r="PIU126" s="224"/>
      <c r="PIV126" s="223"/>
      <c r="PIW126" s="223"/>
      <c r="PIX126" s="223"/>
      <c r="PIY126" s="223"/>
      <c r="PIZ126" s="225"/>
      <c r="PJA126" s="220"/>
      <c r="PJB126" s="221"/>
      <c r="PJC126" s="222"/>
      <c r="PJD126" s="222"/>
      <c r="PJE126" s="223"/>
      <c r="PJF126" s="223"/>
      <c r="PJG126" s="224"/>
      <c r="PJH126" s="223"/>
      <c r="PJI126" s="223"/>
      <c r="PJJ126" s="223"/>
      <c r="PJK126" s="223"/>
      <c r="PJL126" s="225"/>
      <c r="PJM126" s="220"/>
      <c r="PJN126" s="221"/>
      <c r="PJO126" s="222"/>
      <c r="PJP126" s="222"/>
      <c r="PJQ126" s="223"/>
      <c r="PJR126" s="223"/>
      <c r="PJS126" s="224"/>
      <c r="PJT126" s="223"/>
      <c r="PJU126" s="223"/>
      <c r="PJV126" s="223"/>
      <c r="PJW126" s="223"/>
      <c r="PJX126" s="225"/>
      <c r="PJY126" s="220"/>
      <c r="PJZ126" s="221"/>
      <c r="PKA126" s="222"/>
      <c r="PKB126" s="222"/>
      <c r="PKC126" s="223"/>
      <c r="PKD126" s="223"/>
      <c r="PKE126" s="224"/>
      <c r="PKF126" s="223"/>
      <c r="PKG126" s="223"/>
      <c r="PKH126" s="223"/>
      <c r="PKI126" s="223"/>
      <c r="PKJ126" s="225"/>
      <c r="PKK126" s="220"/>
      <c r="PKL126" s="221"/>
      <c r="PKM126" s="222"/>
      <c r="PKN126" s="222"/>
      <c r="PKO126" s="223"/>
      <c r="PKP126" s="223"/>
      <c r="PKQ126" s="224"/>
      <c r="PKR126" s="223"/>
      <c r="PKS126" s="223"/>
      <c r="PKT126" s="223"/>
      <c r="PKU126" s="223"/>
      <c r="PKV126" s="225"/>
      <c r="PKW126" s="220"/>
      <c r="PKX126" s="221"/>
      <c r="PKY126" s="222"/>
      <c r="PKZ126" s="222"/>
      <c r="PLA126" s="223"/>
      <c r="PLB126" s="223"/>
      <c r="PLC126" s="224"/>
      <c r="PLD126" s="223"/>
      <c r="PLE126" s="223"/>
      <c r="PLF126" s="223"/>
      <c r="PLG126" s="223"/>
      <c r="PLH126" s="225"/>
      <c r="PLI126" s="220"/>
      <c r="PLJ126" s="221"/>
      <c r="PLK126" s="222"/>
      <c r="PLL126" s="222"/>
      <c r="PLM126" s="223"/>
      <c r="PLN126" s="223"/>
      <c r="PLO126" s="224"/>
      <c r="PLP126" s="223"/>
      <c r="PLQ126" s="223"/>
      <c r="PLR126" s="223"/>
      <c r="PLS126" s="223"/>
      <c r="PLT126" s="225"/>
      <c r="PLU126" s="220"/>
      <c r="PLV126" s="221"/>
      <c r="PLW126" s="222"/>
      <c r="PLX126" s="222"/>
      <c r="PLY126" s="223"/>
      <c r="PLZ126" s="223"/>
      <c r="PMA126" s="224"/>
      <c r="PMB126" s="223"/>
      <c r="PMC126" s="223"/>
      <c r="PMD126" s="223"/>
      <c r="PME126" s="223"/>
      <c r="PMF126" s="225"/>
      <c r="PMG126" s="220"/>
      <c r="PMH126" s="221"/>
      <c r="PMI126" s="222"/>
      <c r="PMJ126" s="222"/>
      <c r="PMK126" s="223"/>
      <c r="PML126" s="223"/>
      <c r="PMM126" s="224"/>
      <c r="PMN126" s="223"/>
      <c r="PMO126" s="223"/>
      <c r="PMP126" s="223"/>
      <c r="PMQ126" s="223"/>
      <c r="PMR126" s="225"/>
      <c r="PMS126" s="220"/>
      <c r="PMT126" s="221"/>
      <c r="PMU126" s="222"/>
      <c r="PMV126" s="222"/>
      <c r="PMW126" s="223"/>
      <c r="PMX126" s="223"/>
      <c r="PMY126" s="224"/>
      <c r="PMZ126" s="223"/>
      <c r="PNA126" s="223"/>
      <c r="PNB126" s="223"/>
      <c r="PNC126" s="223"/>
      <c r="PND126" s="225"/>
      <c r="PNE126" s="220"/>
      <c r="PNF126" s="221"/>
      <c r="PNG126" s="222"/>
      <c r="PNH126" s="222"/>
      <c r="PNI126" s="223"/>
      <c r="PNJ126" s="223"/>
      <c r="PNK126" s="224"/>
      <c r="PNL126" s="223"/>
      <c r="PNM126" s="223"/>
      <c r="PNN126" s="223"/>
      <c r="PNO126" s="223"/>
      <c r="PNP126" s="225"/>
      <c r="PNQ126" s="220"/>
      <c r="PNR126" s="221"/>
      <c r="PNS126" s="222"/>
      <c r="PNT126" s="222"/>
      <c r="PNU126" s="223"/>
      <c r="PNV126" s="223"/>
      <c r="PNW126" s="224"/>
      <c r="PNX126" s="223"/>
      <c r="PNY126" s="223"/>
      <c r="PNZ126" s="223"/>
      <c r="POA126" s="223"/>
      <c r="POB126" s="225"/>
      <c r="POC126" s="220"/>
      <c r="POD126" s="221"/>
      <c r="POE126" s="222"/>
      <c r="POF126" s="222"/>
      <c r="POG126" s="223"/>
      <c r="POH126" s="223"/>
      <c r="POI126" s="224"/>
      <c r="POJ126" s="223"/>
      <c r="POK126" s="223"/>
      <c r="POL126" s="223"/>
      <c r="POM126" s="223"/>
      <c r="PON126" s="225"/>
      <c r="POO126" s="220"/>
      <c r="POP126" s="221"/>
      <c r="POQ126" s="222"/>
      <c r="POR126" s="222"/>
      <c r="POS126" s="223"/>
      <c r="POT126" s="223"/>
      <c r="POU126" s="224"/>
      <c r="POV126" s="223"/>
      <c r="POW126" s="223"/>
      <c r="POX126" s="223"/>
      <c r="POY126" s="223"/>
      <c r="POZ126" s="225"/>
      <c r="PPA126" s="220"/>
      <c r="PPB126" s="221"/>
      <c r="PPC126" s="222"/>
      <c r="PPD126" s="222"/>
      <c r="PPE126" s="223"/>
      <c r="PPF126" s="223"/>
      <c r="PPG126" s="224"/>
      <c r="PPH126" s="223"/>
      <c r="PPI126" s="223"/>
      <c r="PPJ126" s="223"/>
      <c r="PPK126" s="223"/>
      <c r="PPL126" s="225"/>
      <c r="PPM126" s="220"/>
      <c r="PPN126" s="221"/>
      <c r="PPO126" s="222"/>
      <c r="PPP126" s="222"/>
      <c r="PPQ126" s="223"/>
      <c r="PPR126" s="223"/>
      <c r="PPS126" s="224"/>
      <c r="PPT126" s="223"/>
      <c r="PPU126" s="223"/>
      <c r="PPV126" s="223"/>
      <c r="PPW126" s="223"/>
      <c r="PPX126" s="225"/>
      <c r="PPY126" s="220"/>
      <c r="PPZ126" s="221"/>
      <c r="PQA126" s="222"/>
      <c r="PQB126" s="222"/>
      <c r="PQC126" s="223"/>
      <c r="PQD126" s="223"/>
      <c r="PQE126" s="224"/>
      <c r="PQF126" s="223"/>
      <c r="PQG126" s="223"/>
      <c r="PQH126" s="223"/>
      <c r="PQI126" s="223"/>
      <c r="PQJ126" s="225"/>
      <c r="PQK126" s="220"/>
      <c r="PQL126" s="221"/>
      <c r="PQM126" s="222"/>
      <c r="PQN126" s="222"/>
      <c r="PQO126" s="223"/>
      <c r="PQP126" s="223"/>
      <c r="PQQ126" s="224"/>
      <c r="PQR126" s="223"/>
      <c r="PQS126" s="223"/>
      <c r="PQT126" s="223"/>
      <c r="PQU126" s="223"/>
      <c r="PQV126" s="225"/>
      <c r="PQW126" s="220"/>
      <c r="PQX126" s="221"/>
      <c r="PQY126" s="222"/>
      <c r="PQZ126" s="222"/>
      <c r="PRA126" s="223"/>
      <c r="PRB126" s="223"/>
      <c r="PRC126" s="224"/>
      <c r="PRD126" s="223"/>
      <c r="PRE126" s="223"/>
      <c r="PRF126" s="223"/>
      <c r="PRG126" s="223"/>
      <c r="PRH126" s="225"/>
      <c r="PRI126" s="220"/>
      <c r="PRJ126" s="221"/>
      <c r="PRK126" s="222"/>
      <c r="PRL126" s="222"/>
      <c r="PRM126" s="223"/>
      <c r="PRN126" s="223"/>
      <c r="PRO126" s="224"/>
      <c r="PRP126" s="223"/>
      <c r="PRQ126" s="223"/>
      <c r="PRR126" s="223"/>
      <c r="PRS126" s="223"/>
      <c r="PRT126" s="225"/>
      <c r="PRU126" s="220"/>
      <c r="PRV126" s="221"/>
      <c r="PRW126" s="222"/>
      <c r="PRX126" s="222"/>
      <c r="PRY126" s="223"/>
      <c r="PRZ126" s="223"/>
      <c r="PSA126" s="224"/>
      <c r="PSB126" s="223"/>
      <c r="PSC126" s="223"/>
      <c r="PSD126" s="223"/>
      <c r="PSE126" s="223"/>
      <c r="PSF126" s="225"/>
      <c r="PSG126" s="220"/>
      <c r="PSH126" s="221"/>
      <c r="PSI126" s="222"/>
      <c r="PSJ126" s="222"/>
      <c r="PSK126" s="223"/>
      <c r="PSL126" s="223"/>
      <c r="PSM126" s="224"/>
      <c r="PSN126" s="223"/>
      <c r="PSO126" s="223"/>
      <c r="PSP126" s="223"/>
      <c r="PSQ126" s="223"/>
      <c r="PSR126" s="225"/>
      <c r="PSS126" s="220"/>
      <c r="PST126" s="221"/>
      <c r="PSU126" s="222"/>
      <c r="PSV126" s="222"/>
      <c r="PSW126" s="223"/>
      <c r="PSX126" s="223"/>
      <c r="PSY126" s="224"/>
      <c r="PSZ126" s="223"/>
      <c r="PTA126" s="223"/>
      <c r="PTB126" s="223"/>
      <c r="PTC126" s="223"/>
      <c r="PTD126" s="225"/>
      <c r="PTE126" s="220"/>
      <c r="PTF126" s="221"/>
      <c r="PTG126" s="222"/>
      <c r="PTH126" s="222"/>
      <c r="PTI126" s="223"/>
      <c r="PTJ126" s="223"/>
      <c r="PTK126" s="224"/>
      <c r="PTL126" s="223"/>
      <c r="PTM126" s="223"/>
      <c r="PTN126" s="223"/>
      <c r="PTO126" s="223"/>
      <c r="PTP126" s="225"/>
      <c r="PTQ126" s="220"/>
      <c r="PTR126" s="221"/>
      <c r="PTS126" s="222"/>
      <c r="PTT126" s="222"/>
      <c r="PTU126" s="223"/>
      <c r="PTV126" s="223"/>
      <c r="PTW126" s="224"/>
      <c r="PTX126" s="223"/>
      <c r="PTY126" s="223"/>
      <c r="PTZ126" s="223"/>
      <c r="PUA126" s="223"/>
      <c r="PUB126" s="225"/>
      <c r="PUC126" s="220"/>
      <c r="PUD126" s="221"/>
      <c r="PUE126" s="222"/>
      <c r="PUF126" s="222"/>
      <c r="PUG126" s="223"/>
      <c r="PUH126" s="223"/>
      <c r="PUI126" s="224"/>
      <c r="PUJ126" s="223"/>
      <c r="PUK126" s="223"/>
      <c r="PUL126" s="223"/>
      <c r="PUM126" s="223"/>
      <c r="PUN126" s="225"/>
      <c r="PUO126" s="220"/>
      <c r="PUP126" s="221"/>
      <c r="PUQ126" s="222"/>
      <c r="PUR126" s="222"/>
      <c r="PUS126" s="223"/>
      <c r="PUT126" s="223"/>
      <c r="PUU126" s="224"/>
      <c r="PUV126" s="223"/>
      <c r="PUW126" s="223"/>
      <c r="PUX126" s="223"/>
      <c r="PUY126" s="223"/>
      <c r="PUZ126" s="225"/>
      <c r="PVA126" s="220"/>
      <c r="PVB126" s="221"/>
      <c r="PVC126" s="222"/>
      <c r="PVD126" s="222"/>
      <c r="PVE126" s="223"/>
      <c r="PVF126" s="223"/>
      <c r="PVG126" s="224"/>
      <c r="PVH126" s="223"/>
      <c r="PVI126" s="223"/>
      <c r="PVJ126" s="223"/>
      <c r="PVK126" s="223"/>
      <c r="PVL126" s="225"/>
      <c r="PVM126" s="220"/>
      <c r="PVN126" s="221"/>
      <c r="PVO126" s="222"/>
      <c r="PVP126" s="222"/>
      <c r="PVQ126" s="223"/>
      <c r="PVR126" s="223"/>
      <c r="PVS126" s="224"/>
      <c r="PVT126" s="223"/>
      <c r="PVU126" s="223"/>
      <c r="PVV126" s="223"/>
      <c r="PVW126" s="223"/>
      <c r="PVX126" s="225"/>
      <c r="PVY126" s="220"/>
      <c r="PVZ126" s="221"/>
      <c r="PWA126" s="222"/>
      <c r="PWB126" s="222"/>
      <c r="PWC126" s="223"/>
      <c r="PWD126" s="223"/>
      <c r="PWE126" s="224"/>
      <c r="PWF126" s="223"/>
      <c r="PWG126" s="223"/>
      <c r="PWH126" s="223"/>
      <c r="PWI126" s="223"/>
      <c r="PWJ126" s="225"/>
      <c r="PWK126" s="220"/>
      <c r="PWL126" s="221"/>
      <c r="PWM126" s="222"/>
      <c r="PWN126" s="222"/>
      <c r="PWO126" s="223"/>
      <c r="PWP126" s="223"/>
      <c r="PWQ126" s="224"/>
      <c r="PWR126" s="223"/>
      <c r="PWS126" s="223"/>
      <c r="PWT126" s="223"/>
      <c r="PWU126" s="223"/>
      <c r="PWV126" s="225"/>
      <c r="PWW126" s="220"/>
      <c r="PWX126" s="221"/>
      <c r="PWY126" s="222"/>
      <c r="PWZ126" s="222"/>
      <c r="PXA126" s="223"/>
      <c r="PXB126" s="223"/>
      <c r="PXC126" s="224"/>
      <c r="PXD126" s="223"/>
      <c r="PXE126" s="223"/>
      <c r="PXF126" s="223"/>
      <c r="PXG126" s="223"/>
      <c r="PXH126" s="225"/>
      <c r="PXI126" s="220"/>
      <c r="PXJ126" s="221"/>
      <c r="PXK126" s="222"/>
      <c r="PXL126" s="222"/>
      <c r="PXM126" s="223"/>
      <c r="PXN126" s="223"/>
      <c r="PXO126" s="224"/>
      <c r="PXP126" s="223"/>
      <c r="PXQ126" s="223"/>
      <c r="PXR126" s="223"/>
      <c r="PXS126" s="223"/>
      <c r="PXT126" s="225"/>
      <c r="PXU126" s="220"/>
      <c r="PXV126" s="221"/>
      <c r="PXW126" s="222"/>
      <c r="PXX126" s="222"/>
      <c r="PXY126" s="223"/>
      <c r="PXZ126" s="223"/>
      <c r="PYA126" s="224"/>
      <c r="PYB126" s="223"/>
      <c r="PYC126" s="223"/>
      <c r="PYD126" s="223"/>
      <c r="PYE126" s="223"/>
      <c r="PYF126" s="225"/>
      <c r="PYG126" s="220"/>
      <c r="PYH126" s="221"/>
      <c r="PYI126" s="222"/>
      <c r="PYJ126" s="222"/>
      <c r="PYK126" s="223"/>
      <c r="PYL126" s="223"/>
      <c r="PYM126" s="224"/>
      <c r="PYN126" s="223"/>
      <c r="PYO126" s="223"/>
      <c r="PYP126" s="223"/>
      <c r="PYQ126" s="223"/>
      <c r="PYR126" s="225"/>
      <c r="PYS126" s="220"/>
      <c r="PYT126" s="221"/>
      <c r="PYU126" s="222"/>
      <c r="PYV126" s="222"/>
      <c r="PYW126" s="223"/>
      <c r="PYX126" s="223"/>
      <c r="PYY126" s="224"/>
      <c r="PYZ126" s="223"/>
      <c r="PZA126" s="223"/>
      <c r="PZB126" s="223"/>
      <c r="PZC126" s="223"/>
      <c r="PZD126" s="225"/>
      <c r="PZE126" s="220"/>
      <c r="PZF126" s="221"/>
      <c r="PZG126" s="222"/>
      <c r="PZH126" s="222"/>
      <c r="PZI126" s="223"/>
      <c r="PZJ126" s="223"/>
      <c r="PZK126" s="224"/>
      <c r="PZL126" s="223"/>
      <c r="PZM126" s="223"/>
      <c r="PZN126" s="223"/>
      <c r="PZO126" s="223"/>
      <c r="PZP126" s="225"/>
      <c r="PZQ126" s="220"/>
      <c r="PZR126" s="221"/>
      <c r="PZS126" s="222"/>
      <c r="PZT126" s="222"/>
      <c r="PZU126" s="223"/>
      <c r="PZV126" s="223"/>
      <c r="PZW126" s="224"/>
      <c r="PZX126" s="223"/>
      <c r="PZY126" s="223"/>
      <c r="PZZ126" s="223"/>
      <c r="QAA126" s="223"/>
      <c r="QAB126" s="225"/>
      <c r="QAC126" s="220"/>
      <c r="QAD126" s="221"/>
      <c r="QAE126" s="222"/>
      <c r="QAF126" s="222"/>
      <c r="QAG126" s="223"/>
      <c r="QAH126" s="223"/>
      <c r="QAI126" s="224"/>
      <c r="QAJ126" s="223"/>
      <c r="QAK126" s="223"/>
      <c r="QAL126" s="223"/>
      <c r="QAM126" s="223"/>
      <c r="QAN126" s="225"/>
      <c r="QAO126" s="220"/>
      <c r="QAP126" s="221"/>
      <c r="QAQ126" s="222"/>
      <c r="QAR126" s="222"/>
      <c r="QAS126" s="223"/>
      <c r="QAT126" s="223"/>
      <c r="QAU126" s="224"/>
      <c r="QAV126" s="223"/>
      <c r="QAW126" s="223"/>
      <c r="QAX126" s="223"/>
      <c r="QAY126" s="223"/>
      <c r="QAZ126" s="225"/>
      <c r="QBA126" s="220"/>
      <c r="QBB126" s="221"/>
      <c r="QBC126" s="222"/>
      <c r="QBD126" s="222"/>
      <c r="QBE126" s="223"/>
      <c r="QBF126" s="223"/>
      <c r="QBG126" s="224"/>
      <c r="QBH126" s="223"/>
      <c r="QBI126" s="223"/>
      <c r="QBJ126" s="223"/>
      <c r="QBK126" s="223"/>
      <c r="QBL126" s="225"/>
      <c r="QBM126" s="220"/>
      <c r="QBN126" s="221"/>
      <c r="QBO126" s="222"/>
      <c r="QBP126" s="222"/>
      <c r="QBQ126" s="223"/>
      <c r="QBR126" s="223"/>
      <c r="QBS126" s="224"/>
      <c r="QBT126" s="223"/>
      <c r="QBU126" s="223"/>
      <c r="QBV126" s="223"/>
      <c r="QBW126" s="223"/>
      <c r="QBX126" s="225"/>
      <c r="QBY126" s="220"/>
      <c r="QBZ126" s="221"/>
      <c r="QCA126" s="222"/>
      <c r="QCB126" s="222"/>
      <c r="QCC126" s="223"/>
      <c r="QCD126" s="223"/>
      <c r="QCE126" s="224"/>
      <c r="QCF126" s="223"/>
      <c r="QCG126" s="223"/>
      <c r="QCH126" s="223"/>
      <c r="QCI126" s="223"/>
      <c r="QCJ126" s="225"/>
      <c r="QCK126" s="220"/>
      <c r="QCL126" s="221"/>
      <c r="QCM126" s="222"/>
      <c r="QCN126" s="222"/>
      <c r="QCO126" s="223"/>
      <c r="QCP126" s="223"/>
      <c r="QCQ126" s="224"/>
      <c r="QCR126" s="223"/>
      <c r="QCS126" s="223"/>
      <c r="QCT126" s="223"/>
      <c r="QCU126" s="223"/>
      <c r="QCV126" s="225"/>
      <c r="QCW126" s="220"/>
      <c r="QCX126" s="221"/>
      <c r="QCY126" s="222"/>
      <c r="QCZ126" s="222"/>
      <c r="QDA126" s="223"/>
      <c r="QDB126" s="223"/>
      <c r="QDC126" s="224"/>
      <c r="QDD126" s="223"/>
      <c r="QDE126" s="223"/>
      <c r="QDF126" s="223"/>
      <c r="QDG126" s="223"/>
      <c r="QDH126" s="225"/>
      <c r="QDI126" s="220"/>
      <c r="QDJ126" s="221"/>
      <c r="QDK126" s="222"/>
      <c r="QDL126" s="222"/>
      <c r="QDM126" s="223"/>
      <c r="QDN126" s="223"/>
      <c r="QDO126" s="224"/>
      <c r="QDP126" s="223"/>
      <c r="QDQ126" s="223"/>
      <c r="QDR126" s="223"/>
      <c r="QDS126" s="223"/>
      <c r="QDT126" s="225"/>
      <c r="QDU126" s="220"/>
      <c r="QDV126" s="221"/>
      <c r="QDW126" s="222"/>
      <c r="QDX126" s="222"/>
      <c r="QDY126" s="223"/>
      <c r="QDZ126" s="223"/>
      <c r="QEA126" s="224"/>
      <c r="QEB126" s="223"/>
      <c r="QEC126" s="223"/>
      <c r="QED126" s="223"/>
      <c r="QEE126" s="223"/>
      <c r="QEF126" s="225"/>
      <c r="QEG126" s="220"/>
      <c r="QEH126" s="221"/>
      <c r="QEI126" s="222"/>
      <c r="QEJ126" s="222"/>
      <c r="QEK126" s="223"/>
      <c r="QEL126" s="223"/>
      <c r="QEM126" s="224"/>
      <c r="QEN126" s="223"/>
      <c r="QEO126" s="223"/>
      <c r="QEP126" s="223"/>
      <c r="QEQ126" s="223"/>
      <c r="QER126" s="225"/>
      <c r="QES126" s="220"/>
      <c r="QET126" s="221"/>
      <c r="QEU126" s="222"/>
      <c r="QEV126" s="222"/>
      <c r="QEW126" s="223"/>
      <c r="QEX126" s="223"/>
      <c r="QEY126" s="224"/>
      <c r="QEZ126" s="223"/>
      <c r="QFA126" s="223"/>
      <c r="QFB126" s="223"/>
      <c r="QFC126" s="223"/>
      <c r="QFD126" s="225"/>
      <c r="QFE126" s="220"/>
      <c r="QFF126" s="221"/>
      <c r="QFG126" s="222"/>
      <c r="QFH126" s="222"/>
      <c r="QFI126" s="223"/>
      <c r="QFJ126" s="223"/>
      <c r="QFK126" s="224"/>
      <c r="QFL126" s="223"/>
      <c r="QFM126" s="223"/>
      <c r="QFN126" s="223"/>
      <c r="QFO126" s="223"/>
      <c r="QFP126" s="225"/>
      <c r="QFQ126" s="220"/>
      <c r="QFR126" s="221"/>
      <c r="QFS126" s="222"/>
      <c r="QFT126" s="222"/>
      <c r="QFU126" s="223"/>
      <c r="QFV126" s="223"/>
      <c r="QFW126" s="224"/>
      <c r="QFX126" s="223"/>
      <c r="QFY126" s="223"/>
      <c r="QFZ126" s="223"/>
      <c r="QGA126" s="223"/>
      <c r="QGB126" s="225"/>
      <c r="QGC126" s="220"/>
      <c r="QGD126" s="221"/>
      <c r="QGE126" s="222"/>
      <c r="QGF126" s="222"/>
      <c r="QGG126" s="223"/>
      <c r="QGH126" s="223"/>
      <c r="QGI126" s="224"/>
      <c r="QGJ126" s="223"/>
      <c r="QGK126" s="223"/>
      <c r="QGL126" s="223"/>
      <c r="QGM126" s="223"/>
      <c r="QGN126" s="225"/>
      <c r="QGO126" s="220"/>
      <c r="QGP126" s="221"/>
      <c r="QGQ126" s="222"/>
      <c r="QGR126" s="222"/>
      <c r="QGS126" s="223"/>
      <c r="QGT126" s="223"/>
      <c r="QGU126" s="224"/>
      <c r="QGV126" s="223"/>
      <c r="QGW126" s="223"/>
      <c r="QGX126" s="223"/>
      <c r="QGY126" s="223"/>
      <c r="QGZ126" s="225"/>
      <c r="QHA126" s="220"/>
      <c r="QHB126" s="221"/>
      <c r="QHC126" s="222"/>
      <c r="QHD126" s="222"/>
      <c r="QHE126" s="223"/>
      <c r="QHF126" s="223"/>
      <c r="QHG126" s="224"/>
      <c r="QHH126" s="223"/>
      <c r="QHI126" s="223"/>
      <c r="QHJ126" s="223"/>
      <c r="QHK126" s="223"/>
      <c r="QHL126" s="225"/>
      <c r="QHM126" s="220"/>
      <c r="QHN126" s="221"/>
      <c r="QHO126" s="222"/>
      <c r="QHP126" s="222"/>
      <c r="QHQ126" s="223"/>
      <c r="QHR126" s="223"/>
      <c r="QHS126" s="224"/>
      <c r="QHT126" s="223"/>
      <c r="QHU126" s="223"/>
      <c r="QHV126" s="223"/>
      <c r="QHW126" s="223"/>
      <c r="QHX126" s="225"/>
      <c r="QHY126" s="220"/>
      <c r="QHZ126" s="221"/>
      <c r="QIA126" s="222"/>
      <c r="QIB126" s="222"/>
      <c r="QIC126" s="223"/>
      <c r="QID126" s="223"/>
      <c r="QIE126" s="224"/>
      <c r="QIF126" s="223"/>
      <c r="QIG126" s="223"/>
      <c r="QIH126" s="223"/>
      <c r="QII126" s="223"/>
      <c r="QIJ126" s="225"/>
      <c r="QIK126" s="220"/>
      <c r="QIL126" s="221"/>
      <c r="QIM126" s="222"/>
      <c r="QIN126" s="222"/>
      <c r="QIO126" s="223"/>
      <c r="QIP126" s="223"/>
      <c r="QIQ126" s="224"/>
      <c r="QIR126" s="223"/>
      <c r="QIS126" s="223"/>
      <c r="QIT126" s="223"/>
      <c r="QIU126" s="223"/>
      <c r="QIV126" s="225"/>
      <c r="QIW126" s="220"/>
      <c r="QIX126" s="221"/>
      <c r="QIY126" s="222"/>
      <c r="QIZ126" s="222"/>
      <c r="QJA126" s="223"/>
      <c r="QJB126" s="223"/>
      <c r="QJC126" s="224"/>
      <c r="QJD126" s="223"/>
      <c r="QJE126" s="223"/>
      <c r="QJF126" s="223"/>
      <c r="QJG126" s="223"/>
      <c r="QJH126" s="225"/>
      <c r="QJI126" s="220"/>
      <c r="QJJ126" s="221"/>
      <c r="QJK126" s="222"/>
      <c r="QJL126" s="222"/>
      <c r="QJM126" s="223"/>
      <c r="QJN126" s="223"/>
      <c r="QJO126" s="224"/>
      <c r="QJP126" s="223"/>
      <c r="QJQ126" s="223"/>
      <c r="QJR126" s="223"/>
      <c r="QJS126" s="223"/>
      <c r="QJT126" s="225"/>
      <c r="QJU126" s="220"/>
      <c r="QJV126" s="221"/>
      <c r="QJW126" s="222"/>
      <c r="QJX126" s="222"/>
      <c r="QJY126" s="223"/>
      <c r="QJZ126" s="223"/>
      <c r="QKA126" s="224"/>
      <c r="QKB126" s="223"/>
      <c r="QKC126" s="223"/>
      <c r="QKD126" s="223"/>
      <c r="QKE126" s="223"/>
      <c r="QKF126" s="225"/>
      <c r="QKG126" s="220"/>
      <c r="QKH126" s="221"/>
      <c r="QKI126" s="222"/>
      <c r="QKJ126" s="222"/>
      <c r="QKK126" s="223"/>
      <c r="QKL126" s="223"/>
      <c r="QKM126" s="224"/>
      <c r="QKN126" s="223"/>
      <c r="QKO126" s="223"/>
      <c r="QKP126" s="223"/>
      <c r="QKQ126" s="223"/>
      <c r="QKR126" s="225"/>
      <c r="QKS126" s="220"/>
      <c r="QKT126" s="221"/>
      <c r="QKU126" s="222"/>
      <c r="QKV126" s="222"/>
      <c r="QKW126" s="223"/>
      <c r="QKX126" s="223"/>
      <c r="QKY126" s="224"/>
      <c r="QKZ126" s="223"/>
      <c r="QLA126" s="223"/>
      <c r="QLB126" s="223"/>
      <c r="QLC126" s="223"/>
      <c r="QLD126" s="225"/>
      <c r="QLE126" s="220"/>
      <c r="QLF126" s="221"/>
      <c r="QLG126" s="222"/>
      <c r="QLH126" s="222"/>
      <c r="QLI126" s="223"/>
      <c r="QLJ126" s="223"/>
      <c r="QLK126" s="224"/>
      <c r="QLL126" s="223"/>
      <c r="QLM126" s="223"/>
      <c r="QLN126" s="223"/>
      <c r="QLO126" s="223"/>
      <c r="QLP126" s="225"/>
      <c r="QLQ126" s="220"/>
      <c r="QLR126" s="221"/>
      <c r="QLS126" s="222"/>
      <c r="QLT126" s="222"/>
      <c r="QLU126" s="223"/>
      <c r="QLV126" s="223"/>
      <c r="QLW126" s="224"/>
      <c r="QLX126" s="223"/>
      <c r="QLY126" s="223"/>
      <c r="QLZ126" s="223"/>
      <c r="QMA126" s="223"/>
      <c r="QMB126" s="225"/>
      <c r="QMC126" s="220"/>
      <c r="QMD126" s="221"/>
      <c r="QME126" s="222"/>
      <c r="QMF126" s="222"/>
      <c r="QMG126" s="223"/>
      <c r="QMH126" s="223"/>
      <c r="QMI126" s="224"/>
      <c r="QMJ126" s="223"/>
      <c r="QMK126" s="223"/>
      <c r="QML126" s="223"/>
      <c r="QMM126" s="223"/>
      <c r="QMN126" s="225"/>
      <c r="QMO126" s="220"/>
      <c r="QMP126" s="221"/>
      <c r="QMQ126" s="222"/>
      <c r="QMR126" s="222"/>
      <c r="QMS126" s="223"/>
      <c r="QMT126" s="223"/>
      <c r="QMU126" s="224"/>
      <c r="QMV126" s="223"/>
      <c r="QMW126" s="223"/>
      <c r="QMX126" s="223"/>
      <c r="QMY126" s="223"/>
      <c r="QMZ126" s="225"/>
      <c r="QNA126" s="220"/>
      <c r="QNB126" s="221"/>
      <c r="QNC126" s="222"/>
      <c r="QND126" s="222"/>
      <c r="QNE126" s="223"/>
      <c r="QNF126" s="223"/>
      <c r="QNG126" s="224"/>
      <c r="QNH126" s="223"/>
      <c r="QNI126" s="223"/>
      <c r="QNJ126" s="223"/>
      <c r="QNK126" s="223"/>
      <c r="QNL126" s="225"/>
      <c r="QNM126" s="220"/>
      <c r="QNN126" s="221"/>
      <c r="QNO126" s="222"/>
      <c r="QNP126" s="222"/>
      <c r="QNQ126" s="223"/>
      <c r="QNR126" s="223"/>
      <c r="QNS126" s="224"/>
      <c r="QNT126" s="223"/>
      <c r="QNU126" s="223"/>
      <c r="QNV126" s="223"/>
      <c r="QNW126" s="223"/>
      <c r="QNX126" s="225"/>
      <c r="QNY126" s="220"/>
      <c r="QNZ126" s="221"/>
      <c r="QOA126" s="222"/>
      <c r="QOB126" s="222"/>
      <c r="QOC126" s="223"/>
      <c r="QOD126" s="223"/>
      <c r="QOE126" s="224"/>
      <c r="QOF126" s="223"/>
      <c r="QOG126" s="223"/>
      <c r="QOH126" s="223"/>
      <c r="QOI126" s="223"/>
      <c r="QOJ126" s="225"/>
      <c r="QOK126" s="220"/>
      <c r="QOL126" s="221"/>
      <c r="QOM126" s="222"/>
      <c r="QON126" s="222"/>
      <c r="QOO126" s="223"/>
      <c r="QOP126" s="223"/>
      <c r="QOQ126" s="224"/>
      <c r="QOR126" s="223"/>
      <c r="QOS126" s="223"/>
      <c r="QOT126" s="223"/>
      <c r="QOU126" s="223"/>
      <c r="QOV126" s="225"/>
      <c r="QOW126" s="220"/>
      <c r="QOX126" s="221"/>
      <c r="QOY126" s="222"/>
      <c r="QOZ126" s="222"/>
      <c r="QPA126" s="223"/>
      <c r="QPB126" s="223"/>
      <c r="QPC126" s="224"/>
      <c r="QPD126" s="223"/>
      <c r="QPE126" s="223"/>
      <c r="QPF126" s="223"/>
      <c r="QPG126" s="223"/>
      <c r="QPH126" s="225"/>
      <c r="QPI126" s="220"/>
      <c r="QPJ126" s="221"/>
      <c r="QPK126" s="222"/>
      <c r="QPL126" s="222"/>
      <c r="QPM126" s="223"/>
      <c r="QPN126" s="223"/>
      <c r="QPO126" s="224"/>
      <c r="QPP126" s="223"/>
      <c r="QPQ126" s="223"/>
      <c r="QPR126" s="223"/>
      <c r="QPS126" s="223"/>
      <c r="QPT126" s="225"/>
      <c r="QPU126" s="220"/>
      <c r="QPV126" s="221"/>
      <c r="QPW126" s="222"/>
      <c r="QPX126" s="222"/>
      <c r="QPY126" s="223"/>
      <c r="QPZ126" s="223"/>
      <c r="QQA126" s="224"/>
      <c r="QQB126" s="223"/>
      <c r="QQC126" s="223"/>
      <c r="QQD126" s="223"/>
      <c r="QQE126" s="223"/>
      <c r="QQF126" s="225"/>
      <c r="QQG126" s="220"/>
      <c r="QQH126" s="221"/>
      <c r="QQI126" s="222"/>
      <c r="QQJ126" s="222"/>
      <c r="QQK126" s="223"/>
      <c r="QQL126" s="223"/>
      <c r="QQM126" s="224"/>
      <c r="QQN126" s="223"/>
      <c r="QQO126" s="223"/>
      <c r="QQP126" s="223"/>
      <c r="QQQ126" s="223"/>
      <c r="QQR126" s="225"/>
      <c r="QQS126" s="220"/>
      <c r="QQT126" s="221"/>
      <c r="QQU126" s="222"/>
      <c r="QQV126" s="222"/>
      <c r="QQW126" s="223"/>
      <c r="QQX126" s="223"/>
      <c r="QQY126" s="224"/>
      <c r="QQZ126" s="223"/>
      <c r="QRA126" s="223"/>
      <c r="QRB126" s="223"/>
      <c r="QRC126" s="223"/>
      <c r="QRD126" s="225"/>
      <c r="QRE126" s="220"/>
      <c r="QRF126" s="221"/>
      <c r="QRG126" s="222"/>
      <c r="QRH126" s="222"/>
      <c r="QRI126" s="223"/>
      <c r="QRJ126" s="223"/>
      <c r="QRK126" s="224"/>
      <c r="QRL126" s="223"/>
      <c r="QRM126" s="223"/>
      <c r="QRN126" s="223"/>
      <c r="QRO126" s="223"/>
      <c r="QRP126" s="225"/>
      <c r="QRQ126" s="220"/>
      <c r="QRR126" s="221"/>
      <c r="QRS126" s="222"/>
      <c r="QRT126" s="222"/>
      <c r="QRU126" s="223"/>
      <c r="QRV126" s="223"/>
      <c r="QRW126" s="224"/>
      <c r="QRX126" s="223"/>
      <c r="QRY126" s="223"/>
      <c r="QRZ126" s="223"/>
      <c r="QSA126" s="223"/>
      <c r="QSB126" s="225"/>
      <c r="QSC126" s="220"/>
      <c r="QSD126" s="221"/>
      <c r="QSE126" s="222"/>
      <c r="QSF126" s="222"/>
      <c r="QSG126" s="223"/>
      <c r="QSH126" s="223"/>
      <c r="QSI126" s="224"/>
      <c r="QSJ126" s="223"/>
      <c r="QSK126" s="223"/>
      <c r="QSL126" s="223"/>
      <c r="QSM126" s="223"/>
      <c r="QSN126" s="225"/>
      <c r="QSO126" s="220"/>
      <c r="QSP126" s="221"/>
      <c r="QSQ126" s="222"/>
      <c r="QSR126" s="222"/>
      <c r="QSS126" s="223"/>
      <c r="QST126" s="223"/>
      <c r="QSU126" s="224"/>
      <c r="QSV126" s="223"/>
      <c r="QSW126" s="223"/>
      <c r="QSX126" s="223"/>
      <c r="QSY126" s="223"/>
      <c r="QSZ126" s="225"/>
      <c r="QTA126" s="220"/>
      <c r="QTB126" s="221"/>
      <c r="QTC126" s="222"/>
      <c r="QTD126" s="222"/>
      <c r="QTE126" s="223"/>
      <c r="QTF126" s="223"/>
      <c r="QTG126" s="224"/>
      <c r="QTH126" s="223"/>
      <c r="QTI126" s="223"/>
      <c r="QTJ126" s="223"/>
      <c r="QTK126" s="223"/>
      <c r="QTL126" s="225"/>
      <c r="QTM126" s="220"/>
      <c r="QTN126" s="221"/>
      <c r="QTO126" s="222"/>
      <c r="QTP126" s="222"/>
      <c r="QTQ126" s="223"/>
      <c r="QTR126" s="223"/>
      <c r="QTS126" s="224"/>
      <c r="QTT126" s="223"/>
      <c r="QTU126" s="223"/>
      <c r="QTV126" s="223"/>
      <c r="QTW126" s="223"/>
      <c r="QTX126" s="225"/>
      <c r="QTY126" s="220"/>
      <c r="QTZ126" s="221"/>
      <c r="QUA126" s="222"/>
      <c r="QUB126" s="222"/>
      <c r="QUC126" s="223"/>
      <c r="QUD126" s="223"/>
      <c r="QUE126" s="224"/>
      <c r="QUF126" s="223"/>
      <c r="QUG126" s="223"/>
      <c r="QUH126" s="223"/>
      <c r="QUI126" s="223"/>
      <c r="QUJ126" s="225"/>
      <c r="QUK126" s="220"/>
      <c r="QUL126" s="221"/>
      <c r="QUM126" s="222"/>
      <c r="QUN126" s="222"/>
      <c r="QUO126" s="223"/>
      <c r="QUP126" s="223"/>
      <c r="QUQ126" s="224"/>
      <c r="QUR126" s="223"/>
      <c r="QUS126" s="223"/>
      <c r="QUT126" s="223"/>
      <c r="QUU126" s="223"/>
      <c r="QUV126" s="225"/>
      <c r="QUW126" s="220"/>
      <c r="QUX126" s="221"/>
      <c r="QUY126" s="222"/>
      <c r="QUZ126" s="222"/>
      <c r="QVA126" s="223"/>
      <c r="QVB126" s="223"/>
      <c r="QVC126" s="224"/>
      <c r="QVD126" s="223"/>
      <c r="QVE126" s="223"/>
      <c r="QVF126" s="223"/>
      <c r="QVG126" s="223"/>
      <c r="QVH126" s="225"/>
      <c r="QVI126" s="220"/>
      <c r="QVJ126" s="221"/>
      <c r="QVK126" s="222"/>
      <c r="QVL126" s="222"/>
      <c r="QVM126" s="223"/>
      <c r="QVN126" s="223"/>
      <c r="QVO126" s="224"/>
      <c r="QVP126" s="223"/>
      <c r="QVQ126" s="223"/>
      <c r="QVR126" s="223"/>
      <c r="QVS126" s="223"/>
      <c r="QVT126" s="225"/>
      <c r="QVU126" s="220"/>
      <c r="QVV126" s="221"/>
      <c r="QVW126" s="222"/>
      <c r="QVX126" s="222"/>
      <c r="QVY126" s="223"/>
      <c r="QVZ126" s="223"/>
      <c r="QWA126" s="224"/>
      <c r="QWB126" s="223"/>
      <c r="QWC126" s="223"/>
      <c r="QWD126" s="223"/>
      <c r="QWE126" s="223"/>
      <c r="QWF126" s="225"/>
      <c r="QWG126" s="220"/>
      <c r="QWH126" s="221"/>
      <c r="QWI126" s="222"/>
      <c r="QWJ126" s="222"/>
      <c r="QWK126" s="223"/>
      <c r="QWL126" s="223"/>
      <c r="QWM126" s="224"/>
      <c r="QWN126" s="223"/>
      <c r="QWO126" s="223"/>
      <c r="QWP126" s="223"/>
      <c r="QWQ126" s="223"/>
      <c r="QWR126" s="225"/>
      <c r="QWS126" s="220"/>
      <c r="QWT126" s="221"/>
      <c r="QWU126" s="222"/>
      <c r="QWV126" s="222"/>
      <c r="QWW126" s="223"/>
      <c r="QWX126" s="223"/>
      <c r="QWY126" s="224"/>
      <c r="QWZ126" s="223"/>
      <c r="QXA126" s="223"/>
      <c r="QXB126" s="223"/>
      <c r="QXC126" s="223"/>
      <c r="QXD126" s="225"/>
      <c r="QXE126" s="220"/>
      <c r="QXF126" s="221"/>
      <c r="QXG126" s="222"/>
      <c r="QXH126" s="222"/>
      <c r="QXI126" s="223"/>
      <c r="QXJ126" s="223"/>
      <c r="QXK126" s="224"/>
      <c r="QXL126" s="223"/>
      <c r="QXM126" s="223"/>
      <c r="QXN126" s="223"/>
      <c r="QXO126" s="223"/>
      <c r="QXP126" s="225"/>
      <c r="QXQ126" s="220"/>
      <c r="QXR126" s="221"/>
      <c r="QXS126" s="222"/>
      <c r="QXT126" s="222"/>
      <c r="QXU126" s="223"/>
      <c r="QXV126" s="223"/>
      <c r="QXW126" s="224"/>
      <c r="QXX126" s="223"/>
      <c r="QXY126" s="223"/>
      <c r="QXZ126" s="223"/>
      <c r="QYA126" s="223"/>
      <c r="QYB126" s="225"/>
      <c r="QYC126" s="220"/>
      <c r="QYD126" s="221"/>
      <c r="QYE126" s="222"/>
      <c r="QYF126" s="222"/>
      <c r="QYG126" s="223"/>
      <c r="QYH126" s="223"/>
      <c r="QYI126" s="224"/>
      <c r="QYJ126" s="223"/>
      <c r="QYK126" s="223"/>
      <c r="QYL126" s="223"/>
      <c r="QYM126" s="223"/>
      <c r="QYN126" s="225"/>
      <c r="QYO126" s="220"/>
      <c r="QYP126" s="221"/>
      <c r="QYQ126" s="222"/>
      <c r="QYR126" s="222"/>
      <c r="QYS126" s="223"/>
      <c r="QYT126" s="223"/>
      <c r="QYU126" s="224"/>
      <c r="QYV126" s="223"/>
      <c r="QYW126" s="223"/>
      <c r="QYX126" s="223"/>
      <c r="QYY126" s="223"/>
      <c r="QYZ126" s="225"/>
      <c r="QZA126" s="220"/>
      <c r="QZB126" s="221"/>
      <c r="QZC126" s="222"/>
      <c r="QZD126" s="222"/>
      <c r="QZE126" s="223"/>
      <c r="QZF126" s="223"/>
      <c r="QZG126" s="224"/>
      <c r="QZH126" s="223"/>
      <c r="QZI126" s="223"/>
      <c r="QZJ126" s="223"/>
      <c r="QZK126" s="223"/>
      <c r="QZL126" s="225"/>
      <c r="QZM126" s="220"/>
      <c r="QZN126" s="221"/>
      <c r="QZO126" s="222"/>
      <c r="QZP126" s="222"/>
      <c r="QZQ126" s="223"/>
      <c r="QZR126" s="223"/>
      <c r="QZS126" s="224"/>
      <c r="QZT126" s="223"/>
      <c r="QZU126" s="223"/>
      <c r="QZV126" s="223"/>
      <c r="QZW126" s="223"/>
      <c r="QZX126" s="225"/>
      <c r="QZY126" s="220"/>
      <c r="QZZ126" s="221"/>
      <c r="RAA126" s="222"/>
      <c r="RAB126" s="222"/>
      <c r="RAC126" s="223"/>
      <c r="RAD126" s="223"/>
      <c r="RAE126" s="224"/>
      <c r="RAF126" s="223"/>
      <c r="RAG126" s="223"/>
      <c r="RAH126" s="223"/>
      <c r="RAI126" s="223"/>
      <c r="RAJ126" s="225"/>
      <c r="RAK126" s="220"/>
      <c r="RAL126" s="221"/>
      <c r="RAM126" s="222"/>
      <c r="RAN126" s="222"/>
      <c r="RAO126" s="223"/>
      <c r="RAP126" s="223"/>
      <c r="RAQ126" s="224"/>
      <c r="RAR126" s="223"/>
      <c r="RAS126" s="223"/>
      <c r="RAT126" s="223"/>
      <c r="RAU126" s="223"/>
      <c r="RAV126" s="225"/>
      <c r="RAW126" s="220"/>
      <c r="RAX126" s="221"/>
      <c r="RAY126" s="222"/>
      <c r="RAZ126" s="222"/>
      <c r="RBA126" s="223"/>
      <c r="RBB126" s="223"/>
      <c r="RBC126" s="224"/>
      <c r="RBD126" s="223"/>
      <c r="RBE126" s="223"/>
      <c r="RBF126" s="223"/>
      <c r="RBG126" s="223"/>
      <c r="RBH126" s="225"/>
      <c r="RBI126" s="220"/>
      <c r="RBJ126" s="221"/>
      <c r="RBK126" s="222"/>
      <c r="RBL126" s="222"/>
      <c r="RBM126" s="223"/>
      <c r="RBN126" s="223"/>
      <c r="RBO126" s="224"/>
      <c r="RBP126" s="223"/>
      <c r="RBQ126" s="223"/>
      <c r="RBR126" s="223"/>
      <c r="RBS126" s="223"/>
      <c r="RBT126" s="225"/>
      <c r="RBU126" s="220"/>
      <c r="RBV126" s="221"/>
      <c r="RBW126" s="222"/>
      <c r="RBX126" s="222"/>
      <c r="RBY126" s="223"/>
      <c r="RBZ126" s="223"/>
      <c r="RCA126" s="224"/>
      <c r="RCB126" s="223"/>
      <c r="RCC126" s="223"/>
      <c r="RCD126" s="223"/>
      <c r="RCE126" s="223"/>
      <c r="RCF126" s="225"/>
      <c r="RCG126" s="220"/>
      <c r="RCH126" s="221"/>
      <c r="RCI126" s="222"/>
      <c r="RCJ126" s="222"/>
      <c r="RCK126" s="223"/>
      <c r="RCL126" s="223"/>
      <c r="RCM126" s="224"/>
      <c r="RCN126" s="223"/>
      <c r="RCO126" s="223"/>
      <c r="RCP126" s="223"/>
      <c r="RCQ126" s="223"/>
      <c r="RCR126" s="225"/>
      <c r="RCS126" s="220"/>
      <c r="RCT126" s="221"/>
      <c r="RCU126" s="222"/>
      <c r="RCV126" s="222"/>
      <c r="RCW126" s="223"/>
      <c r="RCX126" s="223"/>
      <c r="RCY126" s="224"/>
      <c r="RCZ126" s="223"/>
      <c r="RDA126" s="223"/>
      <c r="RDB126" s="223"/>
      <c r="RDC126" s="223"/>
      <c r="RDD126" s="225"/>
      <c r="RDE126" s="220"/>
      <c r="RDF126" s="221"/>
      <c r="RDG126" s="222"/>
      <c r="RDH126" s="222"/>
      <c r="RDI126" s="223"/>
      <c r="RDJ126" s="223"/>
      <c r="RDK126" s="224"/>
      <c r="RDL126" s="223"/>
      <c r="RDM126" s="223"/>
      <c r="RDN126" s="223"/>
      <c r="RDO126" s="223"/>
      <c r="RDP126" s="225"/>
      <c r="RDQ126" s="220"/>
      <c r="RDR126" s="221"/>
      <c r="RDS126" s="222"/>
      <c r="RDT126" s="222"/>
      <c r="RDU126" s="223"/>
      <c r="RDV126" s="223"/>
      <c r="RDW126" s="224"/>
      <c r="RDX126" s="223"/>
      <c r="RDY126" s="223"/>
      <c r="RDZ126" s="223"/>
      <c r="REA126" s="223"/>
      <c r="REB126" s="225"/>
      <c r="REC126" s="220"/>
      <c r="RED126" s="221"/>
      <c r="REE126" s="222"/>
      <c r="REF126" s="222"/>
      <c r="REG126" s="223"/>
      <c r="REH126" s="223"/>
      <c r="REI126" s="224"/>
      <c r="REJ126" s="223"/>
      <c r="REK126" s="223"/>
      <c r="REL126" s="223"/>
      <c r="REM126" s="223"/>
      <c r="REN126" s="225"/>
      <c r="REO126" s="220"/>
      <c r="REP126" s="221"/>
      <c r="REQ126" s="222"/>
      <c r="RER126" s="222"/>
      <c r="RES126" s="223"/>
      <c r="RET126" s="223"/>
      <c r="REU126" s="224"/>
      <c r="REV126" s="223"/>
      <c r="REW126" s="223"/>
      <c r="REX126" s="223"/>
      <c r="REY126" s="223"/>
      <c r="REZ126" s="225"/>
      <c r="RFA126" s="220"/>
      <c r="RFB126" s="221"/>
      <c r="RFC126" s="222"/>
      <c r="RFD126" s="222"/>
      <c r="RFE126" s="223"/>
      <c r="RFF126" s="223"/>
      <c r="RFG126" s="224"/>
      <c r="RFH126" s="223"/>
      <c r="RFI126" s="223"/>
      <c r="RFJ126" s="223"/>
      <c r="RFK126" s="223"/>
      <c r="RFL126" s="225"/>
      <c r="RFM126" s="220"/>
      <c r="RFN126" s="221"/>
      <c r="RFO126" s="222"/>
      <c r="RFP126" s="222"/>
      <c r="RFQ126" s="223"/>
      <c r="RFR126" s="223"/>
      <c r="RFS126" s="224"/>
      <c r="RFT126" s="223"/>
      <c r="RFU126" s="223"/>
      <c r="RFV126" s="223"/>
      <c r="RFW126" s="223"/>
      <c r="RFX126" s="225"/>
      <c r="RFY126" s="220"/>
      <c r="RFZ126" s="221"/>
      <c r="RGA126" s="222"/>
      <c r="RGB126" s="222"/>
      <c r="RGC126" s="223"/>
      <c r="RGD126" s="223"/>
      <c r="RGE126" s="224"/>
      <c r="RGF126" s="223"/>
      <c r="RGG126" s="223"/>
      <c r="RGH126" s="223"/>
      <c r="RGI126" s="223"/>
      <c r="RGJ126" s="225"/>
      <c r="RGK126" s="220"/>
      <c r="RGL126" s="221"/>
      <c r="RGM126" s="222"/>
      <c r="RGN126" s="222"/>
      <c r="RGO126" s="223"/>
      <c r="RGP126" s="223"/>
      <c r="RGQ126" s="224"/>
      <c r="RGR126" s="223"/>
      <c r="RGS126" s="223"/>
      <c r="RGT126" s="223"/>
      <c r="RGU126" s="223"/>
      <c r="RGV126" s="225"/>
      <c r="RGW126" s="220"/>
      <c r="RGX126" s="221"/>
      <c r="RGY126" s="222"/>
      <c r="RGZ126" s="222"/>
      <c r="RHA126" s="223"/>
      <c r="RHB126" s="223"/>
      <c r="RHC126" s="224"/>
      <c r="RHD126" s="223"/>
      <c r="RHE126" s="223"/>
      <c r="RHF126" s="223"/>
      <c r="RHG126" s="223"/>
      <c r="RHH126" s="225"/>
      <c r="RHI126" s="220"/>
      <c r="RHJ126" s="221"/>
      <c r="RHK126" s="222"/>
      <c r="RHL126" s="222"/>
      <c r="RHM126" s="223"/>
      <c r="RHN126" s="223"/>
      <c r="RHO126" s="224"/>
      <c r="RHP126" s="223"/>
      <c r="RHQ126" s="223"/>
      <c r="RHR126" s="223"/>
      <c r="RHS126" s="223"/>
      <c r="RHT126" s="225"/>
      <c r="RHU126" s="220"/>
      <c r="RHV126" s="221"/>
      <c r="RHW126" s="222"/>
      <c r="RHX126" s="222"/>
      <c r="RHY126" s="223"/>
      <c r="RHZ126" s="223"/>
      <c r="RIA126" s="224"/>
      <c r="RIB126" s="223"/>
      <c r="RIC126" s="223"/>
      <c r="RID126" s="223"/>
      <c r="RIE126" s="223"/>
      <c r="RIF126" s="225"/>
      <c r="RIG126" s="220"/>
      <c r="RIH126" s="221"/>
      <c r="RII126" s="222"/>
      <c r="RIJ126" s="222"/>
      <c r="RIK126" s="223"/>
      <c r="RIL126" s="223"/>
      <c r="RIM126" s="224"/>
      <c r="RIN126" s="223"/>
      <c r="RIO126" s="223"/>
      <c r="RIP126" s="223"/>
      <c r="RIQ126" s="223"/>
      <c r="RIR126" s="225"/>
      <c r="RIS126" s="220"/>
      <c r="RIT126" s="221"/>
      <c r="RIU126" s="222"/>
      <c r="RIV126" s="222"/>
      <c r="RIW126" s="223"/>
      <c r="RIX126" s="223"/>
      <c r="RIY126" s="224"/>
      <c r="RIZ126" s="223"/>
      <c r="RJA126" s="223"/>
      <c r="RJB126" s="223"/>
      <c r="RJC126" s="223"/>
      <c r="RJD126" s="225"/>
      <c r="RJE126" s="220"/>
      <c r="RJF126" s="221"/>
      <c r="RJG126" s="222"/>
      <c r="RJH126" s="222"/>
      <c r="RJI126" s="223"/>
      <c r="RJJ126" s="223"/>
      <c r="RJK126" s="224"/>
      <c r="RJL126" s="223"/>
      <c r="RJM126" s="223"/>
      <c r="RJN126" s="223"/>
      <c r="RJO126" s="223"/>
      <c r="RJP126" s="225"/>
      <c r="RJQ126" s="220"/>
      <c r="RJR126" s="221"/>
      <c r="RJS126" s="222"/>
      <c r="RJT126" s="222"/>
      <c r="RJU126" s="223"/>
      <c r="RJV126" s="223"/>
      <c r="RJW126" s="224"/>
      <c r="RJX126" s="223"/>
      <c r="RJY126" s="223"/>
      <c r="RJZ126" s="223"/>
      <c r="RKA126" s="223"/>
      <c r="RKB126" s="225"/>
      <c r="RKC126" s="220"/>
      <c r="RKD126" s="221"/>
      <c r="RKE126" s="222"/>
      <c r="RKF126" s="222"/>
      <c r="RKG126" s="223"/>
      <c r="RKH126" s="223"/>
      <c r="RKI126" s="224"/>
      <c r="RKJ126" s="223"/>
      <c r="RKK126" s="223"/>
      <c r="RKL126" s="223"/>
      <c r="RKM126" s="223"/>
      <c r="RKN126" s="225"/>
      <c r="RKO126" s="220"/>
      <c r="RKP126" s="221"/>
      <c r="RKQ126" s="222"/>
      <c r="RKR126" s="222"/>
      <c r="RKS126" s="223"/>
      <c r="RKT126" s="223"/>
      <c r="RKU126" s="224"/>
      <c r="RKV126" s="223"/>
      <c r="RKW126" s="223"/>
      <c r="RKX126" s="223"/>
      <c r="RKY126" s="223"/>
      <c r="RKZ126" s="225"/>
      <c r="RLA126" s="220"/>
      <c r="RLB126" s="221"/>
      <c r="RLC126" s="222"/>
      <c r="RLD126" s="222"/>
      <c r="RLE126" s="223"/>
      <c r="RLF126" s="223"/>
      <c r="RLG126" s="224"/>
      <c r="RLH126" s="223"/>
      <c r="RLI126" s="223"/>
      <c r="RLJ126" s="223"/>
      <c r="RLK126" s="223"/>
      <c r="RLL126" s="225"/>
      <c r="RLM126" s="220"/>
      <c r="RLN126" s="221"/>
      <c r="RLO126" s="222"/>
      <c r="RLP126" s="222"/>
      <c r="RLQ126" s="223"/>
      <c r="RLR126" s="223"/>
      <c r="RLS126" s="224"/>
      <c r="RLT126" s="223"/>
      <c r="RLU126" s="223"/>
      <c r="RLV126" s="223"/>
      <c r="RLW126" s="223"/>
      <c r="RLX126" s="225"/>
      <c r="RLY126" s="220"/>
      <c r="RLZ126" s="221"/>
      <c r="RMA126" s="222"/>
      <c r="RMB126" s="222"/>
      <c r="RMC126" s="223"/>
      <c r="RMD126" s="223"/>
      <c r="RME126" s="224"/>
      <c r="RMF126" s="223"/>
      <c r="RMG126" s="223"/>
      <c r="RMH126" s="223"/>
      <c r="RMI126" s="223"/>
      <c r="RMJ126" s="225"/>
      <c r="RMK126" s="220"/>
      <c r="RML126" s="221"/>
      <c r="RMM126" s="222"/>
      <c r="RMN126" s="222"/>
      <c r="RMO126" s="223"/>
      <c r="RMP126" s="223"/>
      <c r="RMQ126" s="224"/>
      <c r="RMR126" s="223"/>
      <c r="RMS126" s="223"/>
      <c r="RMT126" s="223"/>
      <c r="RMU126" s="223"/>
      <c r="RMV126" s="225"/>
      <c r="RMW126" s="220"/>
      <c r="RMX126" s="221"/>
      <c r="RMY126" s="222"/>
      <c r="RMZ126" s="222"/>
      <c r="RNA126" s="223"/>
      <c r="RNB126" s="223"/>
      <c r="RNC126" s="224"/>
      <c r="RND126" s="223"/>
      <c r="RNE126" s="223"/>
      <c r="RNF126" s="223"/>
      <c r="RNG126" s="223"/>
      <c r="RNH126" s="225"/>
      <c r="RNI126" s="220"/>
      <c r="RNJ126" s="221"/>
      <c r="RNK126" s="222"/>
      <c r="RNL126" s="222"/>
      <c r="RNM126" s="223"/>
      <c r="RNN126" s="223"/>
      <c r="RNO126" s="224"/>
      <c r="RNP126" s="223"/>
      <c r="RNQ126" s="223"/>
      <c r="RNR126" s="223"/>
      <c r="RNS126" s="223"/>
      <c r="RNT126" s="225"/>
      <c r="RNU126" s="220"/>
      <c r="RNV126" s="221"/>
      <c r="RNW126" s="222"/>
      <c r="RNX126" s="222"/>
      <c r="RNY126" s="223"/>
      <c r="RNZ126" s="223"/>
      <c r="ROA126" s="224"/>
      <c r="ROB126" s="223"/>
      <c r="ROC126" s="223"/>
      <c r="ROD126" s="223"/>
      <c r="ROE126" s="223"/>
      <c r="ROF126" s="225"/>
      <c r="ROG126" s="220"/>
      <c r="ROH126" s="221"/>
      <c r="ROI126" s="222"/>
      <c r="ROJ126" s="222"/>
      <c r="ROK126" s="223"/>
      <c r="ROL126" s="223"/>
      <c r="ROM126" s="224"/>
      <c r="RON126" s="223"/>
      <c r="ROO126" s="223"/>
      <c r="ROP126" s="223"/>
      <c r="ROQ126" s="223"/>
      <c r="ROR126" s="225"/>
      <c r="ROS126" s="220"/>
      <c r="ROT126" s="221"/>
      <c r="ROU126" s="222"/>
      <c r="ROV126" s="222"/>
      <c r="ROW126" s="223"/>
      <c r="ROX126" s="223"/>
      <c r="ROY126" s="224"/>
      <c r="ROZ126" s="223"/>
      <c r="RPA126" s="223"/>
      <c r="RPB126" s="223"/>
      <c r="RPC126" s="223"/>
      <c r="RPD126" s="225"/>
      <c r="RPE126" s="220"/>
      <c r="RPF126" s="221"/>
      <c r="RPG126" s="222"/>
      <c r="RPH126" s="222"/>
      <c r="RPI126" s="223"/>
      <c r="RPJ126" s="223"/>
      <c r="RPK126" s="224"/>
      <c r="RPL126" s="223"/>
      <c r="RPM126" s="223"/>
      <c r="RPN126" s="223"/>
      <c r="RPO126" s="223"/>
      <c r="RPP126" s="225"/>
      <c r="RPQ126" s="220"/>
      <c r="RPR126" s="221"/>
      <c r="RPS126" s="222"/>
      <c r="RPT126" s="222"/>
      <c r="RPU126" s="223"/>
      <c r="RPV126" s="223"/>
      <c r="RPW126" s="224"/>
      <c r="RPX126" s="223"/>
      <c r="RPY126" s="223"/>
      <c r="RPZ126" s="223"/>
      <c r="RQA126" s="223"/>
      <c r="RQB126" s="225"/>
      <c r="RQC126" s="220"/>
      <c r="RQD126" s="221"/>
      <c r="RQE126" s="222"/>
      <c r="RQF126" s="222"/>
      <c r="RQG126" s="223"/>
      <c r="RQH126" s="223"/>
      <c r="RQI126" s="224"/>
      <c r="RQJ126" s="223"/>
      <c r="RQK126" s="223"/>
      <c r="RQL126" s="223"/>
      <c r="RQM126" s="223"/>
      <c r="RQN126" s="225"/>
      <c r="RQO126" s="220"/>
      <c r="RQP126" s="221"/>
      <c r="RQQ126" s="222"/>
      <c r="RQR126" s="222"/>
      <c r="RQS126" s="223"/>
      <c r="RQT126" s="223"/>
      <c r="RQU126" s="224"/>
      <c r="RQV126" s="223"/>
      <c r="RQW126" s="223"/>
      <c r="RQX126" s="223"/>
      <c r="RQY126" s="223"/>
      <c r="RQZ126" s="225"/>
      <c r="RRA126" s="220"/>
      <c r="RRB126" s="221"/>
      <c r="RRC126" s="222"/>
      <c r="RRD126" s="222"/>
      <c r="RRE126" s="223"/>
      <c r="RRF126" s="223"/>
      <c r="RRG126" s="224"/>
      <c r="RRH126" s="223"/>
      <c r="RRI126" s="223"/>
      <c r="RRJ126" s="223"/>
      <c r="RRK126" s="223"/>
      <c r="RRL126" s="225"/>
      <c r="RRM126" s="220"/>
      <c r="RRN126" s="221"/>
      <c r="RRO126" s="222"/>
      <c r="RRP126" s="222"/>
      <c r="RRQ126" s="223"/>
      <c r="RRR126" s="223"/>
      <c r="RRS126" s="224"/>
      <c r="RRT126" s="223"/>
      <c r="RRU126" s="223"/>
      <c r="RRV126" s="223"/>
      <c r="RRW126" s="223"/>
      <c r="RRX126" s="225"/>
      <c r="RRY126" s="220"/>
      <c r="RRZ126" s="221"/>
      <c r="RSA126" s="222"/>
      <c r="RSB126" s="222"/>
      <c r="RSC126" s="223"/>
      <c r="RSD126" s="223"/>
      <c r="RSE126" s="224"/>
      <c r="RSF126" s="223"/>
      <c r="RSG126" s="223"/>
      <c r="RSH126" s="223"/>
      <c r="RSI126" s="223"/>
      <c r="RSJ126" s="225"/>
      <c r="RSK126" s="220"/>
      <c r="RSL126" s="221"/>
      <c r="RSM126" s="222"/>
      <c r="RSN126" s="222"/>
      <c r="RSO126" s="223"/>
      <c r="RSP126" s="223"/>
      <c r="RSQ126" s="224"/>
      <c r="RSR126" s="223"/>
      <c r="RSS126" s="223"/>
      <c r="RST126" s="223"/>
      <c r="RSU126" s="223"/>
      <c r="RSV126" s="225"/>
      <c r="RSW126" s="220"/>
      <c r="RSX126" s="221"/>
      <c r="RSY126" s="222"/>
      <c r="RSZ126" s="222"/>
      <c r="RTA126" s="223"/>
      <c r="RTB126" s="223"/>
      <c r="RTC126" s="224"/>
      <c r="RTD126" s="223"/>
      <c r="RTE126" s="223"/>
      <c r="RTF126" s="223"/>
      <c r="RTG126" s="223"/>
      <c r="RTH126" s="225"/>
      <c r="RTI126" s="220"/>
      <c r="RTJ126" s="221"/>
      <c r="RTK126" s="222"/>
      <c r="RTL126" s="222"/>
      <c r="RTM126" s="223"/>
      <c r="RTN126" s="223"/>
      <c r="RTO126" s="224"/>
      <c r="RTP126" s="223"/>
      <c r="RTQ126" s="223"/>
      <c r="RTR126" s="223"/>
      <c r="RTS126" s="223"/>
      <c r="RTT126" s="225"/>
      <c r="RTU126" s="220"/>
      <c r="RTV126" s="221"/>
      <c r="RTW126" s="222"/>
      <c r="RTX126" s="222"/>
      <c r="RTY126" s="223"/>
      <c r="RTZ126" s="223"/>
      <c r="RUA126" s="224"/>
      <c r="RUB126" s="223"/>
      <c r="RUC126" s="223"/>
      <c r="RUD126" s="223"/>
      <c r="RUE126" s="223"/>
      <c r="RUF126" s="225"/>
      <c r="RUG126" s="220"/>
      <c r="RUH126" s="221"/>
      <c r="RUI126" s="222"/>
      <c r="RUJ126" s="222"/>
      <c r="RUK126" s="223"/>
      <c r="RUL126" s="223"/>
      <c r="RUM126" s="224"/>
      <c r="RUN126" s="223"/>
      <c r="RUO126" s="223"/>
      <c r="RUP126" s="223"/>
      <c r="RUQ126" s="223"/>
      <c r="RUR126" s="225"/>
      <c r="RUS126" s="220"/>
      <c r="RUT126" s="221"/>
      <c r="RUU126" s="222"/>
      <c r="RUV126" s="222"/>
      <c r="RUW126" s="223"/>
      <c r="RUX126" s="223"/>
      <c r="RUY126" s="224"/>
      <c r="RUZ126" s="223"/>
      <c r="RVA126" s="223"/>
      <c r="RVB126" s="223"/>
      <c r="RVC126" s="223"/>
      <c r="RVD126" s="225"/>
      <c r="RVE126" s="220"/>
      <c r="RVF126" s="221"/>
      <c r="RVG126" s="222"/>
      <c r="RVH126" s="222"/>
      <c r="RVI126" s="223"/>
      <c r="RVJ126" s="223"/>
      <c r="RVK126" s="224"/>
      <c r="RVL126" s="223"/>
      <c r="RVM126" s="223"/>
      <c r="RVN126" s="223"/>
      <c r="RVO126" s="223"/>
      <c r="RVP126" s="225"/>
      <c r="RVQ126" s="220"/>
      <c r="RVR126" s="221"/>
      <c r="RVS126" s="222"/>
      <c r="RVT126" s="222"/>
      <c r="RVU126" s="223"/>
      <c r="RVV126" s="223"/>
      <c r="RVW126" s="224"/>
      <c r="RVX126" s="223"/>
      <c r="RVY126" s="223"/>
      <c r="RVZ126" s="223"/>
      <c r="RWA126" s="223"/>
      <c r="RWB126" s="225"/>
      <c r="RWC126" s="220"/>
      <c r="RWD126" s="221"/>
      <c r="RWE126" s="222"/>
      <c r="RWF126" s="222"/>
      <c r="RWG126" s="223"/>
      <c r="RWH126" s="223"/>
      <c r="RWI126" s="224"/>
      <c r="RWJ126" s="223"/>
      <c r="RWK126" s="223"/>
      <c r="RWL126" s="223"/>
      <c r="RWM126" s="223"/>
      <c r="RWN126" s="225"/>
      <c r="RWO126" s="220"/>
      <c r="RWP126" s="221"/>
      <c r="RWQ126" s="222"/>
      <c r="RWR126" s="222"/>
      <c r="RWS126" s="223"/>
      <c r="RWT126" s="223"/>
      <c r="RWU126" s="224"/>
      <c r="RWV126" s="223"/>
      <c r="RWW126" s="223"/>
      <c r="RWX126" s="223"/>
      <c r="RWY126" s="223"/>
      <c r="RWZ126" s="225"/>
      <c r="RXA126" s="220"/>
      <c r="RXB126" s="221"/>
      <c r="RXC126" s="222"/>
      <c r="RXD126" s="222"/>
      <c r="RXE126" s="223"/>
      <c r="RXF126" s="223"/>
      <c r="RXG126" s="224"/>
      <c r="RXH126" s="223"/>
      <c r="RXI126" s="223"/>
      <c r="RXJ126" s="223"/>
      <c r="RXK126" s="223"/>
      <c r="RXL126" s="225"/>
      <c r="RXM126" s="220"/>
      <c r="RXN126" s="221"/>
      <c r="RXO126" s="222"/>
      <c r="RXP126" s="222"/>
      <c r="RXQ126" s="223"/>
      <c r="RXR126" s="223"/>
      <c r="RXS126" s="224"/>
      <c r="RXT126" s="223"/>
      <c r="RXU126" s="223"/>
      <c r="RXV126" s="223"/>
      <c r="RXW126" s="223"/>
      <c r="RXX126" s="225"/>
      <c r="RXY126" s="220"/>
      <c r="RXZ126" s="221"/>
      <c r="RYA126" s="222"/>
      <c r="RYB126" s="222"/>
      <c r="RYC126" s="223"/>
      <c r="RYD126" s="223"/>
      <c r="RYE126" s="224"/>
      <c r="RYF126" s="223"/>
      <c r="RYG126" s="223"/>
      <c r="RYH126" s="223"/>
      <c r="RYI126" s="223"/>
      <c r="RYJ126" s="225"/>
      <c r="RYK126" s="220"/>
      <c r="RYL126" s="221"/>
      <c r="RYM126" s="222"/>
      <c r="RYN126" s="222"/>
      <c r="RYO126" s="223"/>
      <c r="RYP126" s="223"/>
      <c r="RYQ126" s="224"/>
      <c r="RYR126" s="223"/>
      <c r="RYS126" s="223"/>
      <c r="RYT126" s="223"/>
      <c r="RYU126" s="223"/>
      <c r="RYV126" s="225"/>
      <c r="RYW126" s="220"/>
      <c r="RYX126" s="221"/>
      <c r="RYY126" s="222"/>
      <c r="RYZ126" s="222"/>
      <c r="RZA126" s="223"/>
      <c r="RZB126" s="223"/>
      <c r="RZC126" s="224"/>
      <c r="RZD126" s="223"/>
      <c r="RZE126" s="223"/>
      <c r="RZF126" s="223"/>
      <c r="RZG126" s="223"/>
      <c r="RZH126" s="225"/>
      <c r="RZI126" s="220"/>
      <c r="RZJ126" s="221"/>
      <c r="RZK126" s="222"/>
      <c r="RZL126" s="222"/>
      <c r="RZM126" s="223"/>
      <c r="RZN126" s="223"/>
      <c r="RZO126" s="224"/>
      <c r="RZP126" s="223"/>
      <c r="RZQ126" s="223"/>
      <c r="RZR126" s="223"/>
      <c r="RZS126" s="223"/>
      <c r="RZT126" s="225"/>
      <c r="RZU126" s="220"/>
      <c r="RZV126" s="221"/>
      <c r="RZW126" s="222"/>
      <c r="RZX126" s="222"/>
      <c r="RZY126" s="223"/>
      <c r="RZZ126" s="223"/>
      <c r="SAA126" s="224"/>
      <c r="SAB126" s="223"/>
      <c r="SAC126" s="223"/>
      <c r="SAD126" s="223"/>
      <c r="SAE126" s="223"/>
      <c r="SAF126" s="225"/>
      <c r="SAG126" s="220"/>
      <c r="SAH126" s="221"/>
      <c r="SAI126" s="222"/>
      <c r="SAJ126" s="222"/>
      <c r="SAK126" s="223"/>
      <c r="SAL126" s="223"/>
      <c r="SAM126" s="224"/>
      <c r="SAN126" s="223"/>
      <c r="SAO126" s="223"/>
      <c r="SAP126" s="223"/>
      <c r="SAQ126" s="223"/>
      <c r="SAR126" s="225"/>
      <c r="SAS126" s="220"/>
      <c r="SAT126" s="221"/>
      <c r="SAU126" s="222"/>
      <c r="SAV126" s="222"/>
      <c r="SAW126" s="223"/>
      <c r="SAX126" s="223"/>
      <c r="SAY126" s="224"/>
      <c r="SAZ126" s="223"/>
      <c r="SBA126" s="223"/>
      <c r="SBB126" s="223"/>
      <c r="SBC126" s="223"/>
      <c r="SBD126" s="225"/>
      <c r="SBE126" s="220"/>
      <c r="SBF126" s="221"/>
      <c r="SBG126" s="222"/>
      <c r="SBH126" s="222"/>
      <c r="SBI126" s="223"/>
      <c r="SBJ126" s="223"/>
      <c r="SBK126" s="224"/>
      <c r="SBL126" s="223"/>
      <c r="SBM126" s="223"/>
      <c r="SBN126" s="223"/>
      <c r="SBO126" s="223"/>
      <c r="SBP126" s="225"/>
      <c r="SBQ126" s="220"/>
      <c r="SBR126" s="221"/>
      <c r="SBS126" s="222"/>
      <c r="SBT126" s="222"/>
      <c r="SBU126" s="223"/>
      <c r="SBV126" s="223"/>
      <c r="SBW126" s="224"/>
      <c r="SBX126" s="223"/>
      <c r="SBY126" s="223"/>
      <c r="SBZ126" s="223"/>
      <c r="SCA126" s="223"/>
      <c r="SCB126" s="225"/>
      <c r="SCC126" s="220"/>
      <c r="SCD126" s="221"/>
      <c r="SCE126" s="222"/>
      <c r="SCF126" s="222"/>
      <c r="SCG126" s="223"/>
      <c r="SCH126" s="223"/>
      <c r="SCI126" s="224"/>
      <c r="SCJ126" s="223"/>
      <c r="SCK126" s="223"/>
      <c r="SCL126" s="223"/>
      <c r="SCM126" s="223"/>
      <c r="SCN126" s="225"/>
      <c r="SCO126" s="220"/>
      <c r="SCP126" s="221"/>
      <c r="SCQ126" s="222"/>
      <c r="SCR126" s="222"/>
      <c r="SCS126" s="223"/>
      <c r="SCT126" s="223"/>
      <c r="SCU126" s="224"/>
      <c r="SCV126" s="223"/>
      <c r="SCW126" s="223"/>
      <c r="SCX126" s="223"/>
      <c r="SCY126" s="223"/>
      <c r="SCZ126" s="225"/>
      <c r="SDA126" s="220"/>
      <c r="SDB126" s="221"/>
      <c r="SDC126" s="222"/>
      <c r="SDD126" s="222"/>
      <c r="SDE126" s="223"/>
      <c r="SDF126" s="223"/>
      <c r="SDG126" s="224"/>
      <c r="SDH126" s="223"/>
      <c r="SDI126" s="223"/>
      <c r="SDJ126" s="223"/>
      <c r="SDK126" s="223"/>
      <c r="SDL126" s="225"/>
      <c r="SDM126" s="220"/>
      <c r="SDN126" s="221"/>
      <c r="SDO126" s="222"/>
      <c r="SDP126" s="222"/>
      <c r="SDQ126" s="223"/>
      <c r="SDR126" s="223"/>
      <c r="SDS126" s="224"/>
      <c r="SDT126" s="223"/>
      <c r="SDU126" s="223"/>
      <c r="SDV126" s="223"/>
      <c r="SDW126" s="223"/>
      <c r="SDX126" s="225"/>
      <c r="SDY126" s="220"/>
      <c r="SDZ126" s="221"/>
      <c r="SEA126" s="222"/>
      <c r="SEB126" s="222"/>
      <c r="SEC126" s="223"/>
      <c r="SED126" s="223"/>
      <c r="SEE126" s="224"/>
      <c r="SEF126" s="223"/>
      <c r="SEG126" s="223"/>
      <c r="SEH126" s="223"/>
      <c r="SEI126" s="223"/>
      <c r="SEJ126" s="225"/>
      <c r="SEK126" s="220"/>
      <c r="SEL126" s="221"/>
      <c r="SEM126" s="222"/>
      <c r="SEN126" s="222"/>
      <c r="SEO126" s="223"/>
      <c r="SEP126" s="223"/>
      <c r="SEQ126" s="224"/>
      <c r="SER126" s="223"/>
      <c r="SES126" s="223"/>
      <c r="SET126" s="223"/>
      <c r="SEU126" s="223"/>
      <c r="SEV126" s="225"/>
      <c r="SEW126" s="220"/>
      <c r="SEX126" s="221"/>
      <c r="SEY126" s="222"/>
      <c r="SEZ126" s="222"/>
      <c r="SFA126" s="223"/>
      <c r="SFB126" s="223"/>
      <c r="SFC126" s="224"/>
      <c r="SFD126" s="223"/>
      <c r="SFE126" s="223"/>
      <c r="SFF126" s="223"/>
      <c r="SFG126" s="223"/>
      <c r="SFH126" s="225"/>
      <c r="SFI126" s="220"/>
      <c r="SFJ126" s="221"/>
      <c r="SFK126" s="222"/>
      <c r="SFL126" s="222"/>
      <c r="SFM126" s="223"/>
      <c r="SFN126" s="223"/>
      <c r="SFO126" s="224"/>
      <c r="SFP126" s="223"/>
      <c r="SFQ126" s="223"/>
      <c r="SFR126" s="223"/>
      <c r="SFS126" s="223"/>
      <c r="SFT126" s="225"/>
      <c r="SFU126" s="220"/>
      <c r="SFV126" s="221"/>
      <c r="SFW126" s="222"/>
      <c r="SFX126" s="222"/>
      <c r="SFY126" s="223"/>
      <c r="SFZ126" s="223"/>
      <c r="SGA126" s="224"/>
      <c r="SGB126" s="223"/>
      <c r="SGC126" s="223"/>
      <c r="SGD126" s="223"/>
      <c r="SGE126" s="223"/>
      <c r="SGF126" s="225"/>
      <c r="SGG126" s="220"/>
      <c r="SGH126" s="221"/>
      <c r="SGI126" s="222"/>
      <c r="SGJ126" s="222"/>
      <c r="SGK126" s="223"/>
      <c r="SGL126" s="223"/>
      <c r="SGM126" s="224"/>
      <c r="SGN126" s="223"/>
      <c r="SGO126" s="223"/>
      <c r="SGP126" s="223"/>
      <c r="SGQ126" s="223"/>
      <c r="SGR126" s="225"/>
      <c r="SGS126" s="220"/>
      <c r="SGT126" s="221"/>
      <c r="SGU126" s="222"/>
      <c r="SGV126" s="222"/>
      <c r="SGW126" s="223"/>
      <c r="SGX126" s="223"/>
      <c r="SGY126" s="224"/>
      <c r="SGZ126" s="223"/>
      <c r="SHA126" s="223"/>
      <c r="SHB126" s="223"/>
      <c r="SHC126" s="223"/>
      <c r="SHD126" s="225"/>
      <c r="SHE126" s="220"/>
      <c r="SHF126" s="221"/>
      <c r="SHG126" s="222"/>
      <c r="SHH126" s="222"/>
      <c r="SHI126" s="223"/>
      <c r="SHJ126" s="223"/>
      <c r="SHK126" s="224"/>
      <c r="SHL126" s="223"/>
      <c r="SHM126" s="223"/>
      <c r="SHN126" s="223"/>
      <c r="SHO126" s="223"/>
      <c r="SHP126" s="225"/>
      <c r="SHQ126" s="220"/>
      <c r="SHR126" s="221"/>
      <c r="SHS126" s="222"/>
      <c r="SHT126" s="222"/>
      <c r="SHU126" s="223"/>
      <c r="SHV126" s="223"/>
      <c r="SHW126" s="224"/>
      <c r="SHX126" s="223"/>
      <c r="SHY126" s="223"/>
      <c r="SHZ126" s="223"/>
      <c r="SIA126" s="223"/>
      <c r="SIB126" s="225"/>
      <c r="SIC126" s="220"/>
      <c r="SID126" s="221"/>
      <c r="SIE126" s="222"/>
      <c r="SIF126" s="222"/>
      <c r="SIG126" s="223"/>
      <c r="SIH126" s="223"/>
      <c r="SII126" s="224"/>
      <c r="SIJ126" s="223"/>
      <c r="SIK126" s="223"/>
      <c r="SIL126" s="223"/>
      <c r="SIM126" s="223"/>
      <c r="SIN126" s="225"/>
      <c r="SIO126" s="220"/>
      <c r="SIP126" s="221"/>
      <c r="SIQ126" s="222"/>
      <c r="SIR126" s="222"/>
      <c r="SIS126" s="223"/>
      <c r="SIT126" s="223"/>
      <c r="SIU126" s="224"/>
      <c r="SIV126" s="223"/>
      <c r="SIW126" s="223"/>
      <c r="SIX126" s="223"/>
      <c r="SIY126" s="223"/>
      <c r="SIZ126" s="225"/>
      <c r="SJA126" s="220"/>
      <c r="SJB126" s="221"/>
      <c r="SJC126" s="222"/>
      <c r="SJD126" s="222"/>
      <c r="SJE126" s="223"/>
      <c r="SJF126" s="223"/>
      <c r="SJG126" s="224"/>
      <c r="SJH126" s="223"/>
      <c r="SJI126" s="223"/>
      <c r="SJJ126" s="223"/>
      <c r="SJK126" s="223"/>
      <c r="SJL126" s="225"/>
      <c r="SJM126" s="220"/>
      <c r="SJN126" s="221"/>
      <c r="SJO126" s="222"/>
      <c r="SJP126" s="222"/>
      <c r="SJQ126" s="223"/>
      <c r="SJR126" s="223"/>
      <c r="SJS126" s="224"/>
      <c r="SJT126" s="223"/>
      <c r="SJU126" s="223"/>
      <c r="SJV126" s="223"/>
      <c r="SJW126" s="223"/>
      <c r="SJX126" s="225"/>
      <c r="SJY126" s="220"/>
      <c r="SJZ126" s="221"/>
      <c r="SKA126" s="222"/>
      <c r="SKB126" s="222"/>
      <c r="SKC126" s="223"/>
      <c r="SKD126" s="223"/>
      <c r="SKE126" s="224"/>
      <c r="SKF126" s="223"/>
      <c r="SKG126" s="223"/>
      <c r="SKH126" s="223"/>
      <c r="SKI126" s="223"/>
      <c r="SKJ126" s="225"/>
      <c r="SKK126" s="220"/>
      <c r="SKL126" s="221"/>
      <c r="SKM126" s="222"/>
      <c r="SKN126" s="222"/>
      <c r="SKO126" s="223"/>
      <c r="SKP126" s="223"/>
      <c r="SKQ126" s="224"/>
      <c r="SKR126" s="223"/>
      <c r="SKS126" s="223"/>
      <c r="SKT126" s="223"/>
      <c r="SKU126" s="223"/>
      <c r="SKV126" s="225"/>
      <c r="SKW126" s="220"/>
      <c r="SKX126" s="221"/>
      <c r="SKY126" s="222"/>
      <c r="SKZ126" s="222"/>
      <c r="SLA126" s="223"/>
      <c r="SLB126" s="223"/>
      <c r="SLC126" s="224"/>
      <c r="SLD126" s="223"/>
      <c r="SLE126" s="223"/>
      <c r="SLF126" s="223"/>
      <c r="SLG126" s="223"/>
      <c r="SLH126" s="225"/>
      <c r="SLI126" s="220"/>
      <c r="SLJ126" s="221"/>
      <c r="SLK126" s="222"/>
      <c r="SLL126" s="222"/>
      <c r="SLM126" s="223"/>
      <c r="SLN126" s="223"/>
      <c r="SLO126" s="224"/>
      <c r="SLP126" s="223"/>
      <c r="SLQ126" s="223"/>
      <c r="SLR126" s="223"/>
      <c r="SLS126" s="223"/>
      <c r="SLT126" s="225"/>
      <c r="SLU126" s="220"/>
      <c r="SLV126" s="221"/>
      <c r="SLW126" s="222"/>
      <c r="SLX126" s="222"/>
      <c r="SLY126" s="223"/>
      <c r="SLZ126" s="223"/>
      <c r="SMA126" s="224"/>
      <c r="SMB126" s="223"/>
      <c r="SMC126" s="223"/>
      <c r="SMD126" s="223"/>
      <c r="SME126" s="223"/>
      <c r="SMF126" s="225"/>
      <c r="SMG126" s="220"/>
      <c r="SMH126" s="221"/>
      <c r="SMI126" s="222"/>
      <c r="SMJ126" s="222"/>
      <c r="SMK126" s="223"/>
      <c r="SML126" s="223"/>
      <c r="SMM126" s="224"/>
      <c r="SMN126" s="223"/>
      <c r="SMO126" s="223"/>
      <c r="SMP126" s="223"/>
      <c r="SMQ126" s="223"/>
      <c r="SMR126" s="225"/>
      <c r="SMS126" s="220"/>
      <c r="SMT126" s="221"/>
      <c r="SMU126" s="222"/>
      <c r="SMV126" s="222"/>
      <c r="SMW126" s="223"/>
      <c r="SMX126" s="223"/>
      <c r="SMY126" s="224"/>
      <c r="SMZ126" s="223"/>
      <c r="SNA126" s="223"/>
      <c r="SNB126" s="223"/>
      <c r="SNC126" s="223"/>
      <c r="SND126" s="225"/>
      <c r="SNE126" s="220"/>
      <c r="SNF126" s="221"/>
      <c r="SNG126" s="222"/>
      <c r="SNH126" s="222"/>
      <c r="SNI126" s="223"/>
      <c r="SNJ126" s="223"/>
      <c r="SNK126" s="224"/>
      <c r="SNL126" s="223"/>
      <c r="SNM126" s="223"/>
      <c r="SNN126" s="223"/>
      <c r="SNO126" s="223"/>
      <c r="SNP126" s="225"/>
      <c r="SNQ126" s="220"/>
      <c r="SNR126" s="221"/>
      <c r="SNS126" s="222"/>
      <c r="SNT126" s="222"/>
      <c r="SNU126" s="223"/>
      <c r="SNV126" s="223"/>
      <c r="SNW126" s="224"/>
      <c r="SNX126" s="223"/>
      <c r="SNY126" s="223"/>
      <c r="SNZ126" s="223"/>
      <c r="SOA126" s="223"/>
      <c r="SOB126" s="225"/>
      <c r="SOC126" s="220"/>
      <c r="SOD126" s="221"/>
      <c r="SOE126" s="222"/>
      <c r="SOF126" s="222"/>
      <c r="SOG126" s="223"/>
      <c r="SOH126" s="223"/>
      <c r="SOI126" s="224"/>
      <c r="SOJ126" s="223"/>
      <c r="SOK126" s="223"/>
      <c r="SOL126" s="223"/>
      <c r="SOM126" s="223"/>
      <c r="SON126" s="225"/>
      <c r="SOO126" s="220"/>
      <c r="SOP126" s="221"/>
      <c r="SOQ126" s="222"/>
      <c r="SOR126" s="222"/>
      <c r="SOS126" s="223"/>
      <c r="SOT126" s="223"/>
      <c r="SOU126" s="224"/>
      <c r="SOV126" s="223"/>
      <c r="SOW126" s="223"/>
      <c r="SOX126" s="223"/>
      <c r="SOY126" s="223"/>
      <c r="SOZ126" s="225"/>
      <c r="SPA126" s="220"/>
      <c r="SPB126" s="221"/>
      <c r="SPC126" s="222"/>
      <c r="SPD126" s="222"/>
      <c r="SPE126" s="223"/>
      <c r="SPF126" s="223"/>
      <c r="SPG126" s="224"/>
      <c r="SPH126" s="223"/>
      <c r="SPI126" s="223"/>
      <c r="SPJ126" s="223"/>
      <c r="SPK126" s="223"/>
      <c r="SPL126" s="225"/>
      <c r="SPM126" s="220"/>
      <c r="SPN126" s="221"/>
      <c r="SPO126" s="222"/>
      <c r="SPP126" s="222"/>
      <c r="SPQ126" s="223"/>
      <c r="SPR126" s="223"/>
      <c r="SPS126" s="224"/>
      <c r="SPT126" s="223"/>
      <c r="SPU126" s="223"/>
      <c r="SPV126" s="223"/>
      <c r="SPW126" s="223"/>
      <c r="SPX126" s="225"/>
      <c r="SPY126" s="220"/>
      <c r="SPZ126" s="221"/>
      <c r="SQA126" s="222"/>
      <c r="SQB126" s="222"/>
      <c r="SQC126" s="223"/>
      <c r="SQD126" s="223"/>
      <c r="SQE126" s="224"/>
      <c r="SQF126" s="223"/>
      <c r="SQG126" s="223"/>
      <c r="SQH126" s="223"/>
      <c r="SQI126" s="223"/>
      <c r="SQJ126" s="225"/>
      <c r="SQK126" s="220"/>
      <c r="SQL126" s="221"/>
      <c r="SQM126" s="222"/>
      <c r="SQN126" s="222"/>
      <c r="SQO126" s="223"/>
      <c r="SQP126" s="223"/>
      <c r="SQQ126" s="224"/>
      <c r="SQR126" s="223"/>
      <c r="SQS126" s="223"/>
      <c r="SQT126" s="223"/>
      <c r="SQU126" s="223"/>
      <c r="SQV126" s="225"/>
      <c r="SQW126" s="220"/>
      <c r="SQX126" s="221"/>
      <c r="SQY126" s="222"/>
      <c r="SQZ126" s="222"/>
      <c r="SRA126" s="223"/>
      <c r="SRB126" s="223"/>
      <c r="SRC126" s="224"/>
      <c r="SRD126" s="223"/>
      <c r="SRE126" s="223"/>
      <c r="SRF126" s="223"/>
      <c r="SRG126" s="223"/>
      <c r="SRH126" s="225"/>
      <c r="SRI126" s="220"/>
      <c r="SRJ126" s="221"/>
      <c r="SRK126" s="222"/>
      <c r="SRL126" s="222"/>
      <c r="SRM126" s="223"/>
      <c r="SRN126" s="223"/>
      <c r="SRO126" s="224"/>
      <c r="SRP126" s="223"/>
      <c r="SRQ126" s="223"/>
      <c r="SRR126" s="223"/>
      <c r="SRS126" s="223"/>
      <c r="SRT126" s="225"/>
      <c r="SRU126" s="220"/>
      <c r="SRV126" s="221"/>
      <c r="SRW126" s="222"/>
      <c r="SRX126" s="222"/>
      <c r="SRY126" s="223"/>
      <c r="SRZ126" s="223"/>
      <c r="SSA126" s="224"/>
      <c r="SSB126" s="223"/>
      <c r="SSC126" s="223"/>
      <c r="SSD126" s="223"/>
      <c r="SSE126" s="223"/>
      <c r="SSF126" s="225"/>
      <c r="SSG126" s="220"/>
      <c r="SSH126" s="221"/>
      <c r="SSI126" s="222"/>
      <c r="SSJ126" s="222"/>
      <c r="SSK126" s="223"/>
      <c r="SSL126" s="223"/>
      <c r="SSM126" s="224"/>
      <c r="SSN126" s="223"/>
      <c r="SSO126" s="223"/>
      <c r="SSP126" s="223"/>
      <c r="SSQ126" s="223"/>
      <c r="SSR126" s="225"/>
      <c r="SSS126" s="220"/>
      <c r="SST126" s="221"/>
      <c r="SSU126" s="222"/>
      <c r="SSV126" s="222"/>
      <c r="SSW126" s="223"/>
      <c r="SSX126" s="223"/>
      <c r="SSY126" s="224"/>
      <c r="SSZ126" s="223"/>
      <c r="STA126" s="223"/>
      <c r="STB126" s="223"/>
      <c r="STC126" s="223"/>
      <c r="STD126" s="225"/>
      <c r="STE126" s="220"/>
      <c r="STF126" s="221"/>
      <c r="STG126" s="222"/>
      <c r="STH126" s="222"/>
      <c r="STI126" s="223"/>
      <c r="STJ126" s="223"/>
      <c r="STK126" s="224"/>
      <c r="STL126" s="223"/>
      <c r="STM126" s="223"/>
      <c r="STN126" s="223"/>
      <c r="STO126" s="223"/>
      <c r="STP126" s="225"/>
      <c r="STQ126" s="220"/>
      <c r="STR126" s="221"/>
      <c r="STS126" s="222"/>
      <c r="STT126" s="222"/>
      <c r="STU126" s="223"/>
      <c r="STV126" s="223"/>
      <c r="STW126" s="224"/>
      <c r="STX126" s="223"/>
      <c r="STY126" s="223"/>
      <c r="STZ126" s="223"/>
      <c r="SUA126" s="223"/>
      <c r="SUB126" s="225"/>
      <c r="SUC126" s="220"/>
      <c r="SUD126" s="221"/>
      <c r="SUE126" s="222"/>
      <c r="SUF126" s="222"/>
      <c r="SUG126" s="223"/>
      <c r="SUH126" s="223"/>
      <c r="SUI126" s="224"/>
      <c r="SUJ126" s="223"/>
      <c r="SUK126" s="223"/>
      <c r="SUL126" s="223"/>
      <c r="SUM126" s="223"/>
      <c r="SUN126" s="225"/>
      <c r="SUO126" s="220"/>
      <c r="SUP126" s="221"/>
      <c r="SUQ126" s="222"/>
      <c r="SUR126" s="222"/>
      <c r="SUS126" s="223"/>
      <c r="SUT126" s="223"/>
      <c r="SUU126" s="224"/>
      <c r="SUV126" s="223"/>
      <c r="SUW126" s="223"/>
      <c r="SUX126" s="223"/>
      <c r="SUY126" s="223"/>
      <c r="SUZ126" s="225"/>
      <c r="SVA126" s="220"/>
      <c r="SVB126" s="221"/>
      <c r="SVC126" s="222"/>
      <c r="SVD126" s="222"/>
      <c r="SVE126" s="223"/>
      <c r="SVF126" s="223"/>
      <c r="SVG126" s="224"/>
      <c r="SVH126" s="223"/>
      <c r="SVI126" s="223"/>
      <c r="SVJ126" s="223"/>
      <c r="SVK126" s="223"/>
      <c r="SVL126" s="225"/>
      <c r="SVM126" s="220"/>
      <c r="SVN126" s="221"/>
      <c r="SVO126" s="222"/>
      <c r="SVP126" s="222"/>
      <c r="SVQ126" s="223"/>
      <c r="SVR126" s="223"/>
      <c r="SVS126" s="224"/>
      <c r="SVT126" s="223"/>
      <c r="SVU126" s="223"/>
      <c r="SVV126" s="223"/>
      <c r="SVW126" s="223"/>
      <c r="SVX126" s="225"/>
      <c r="SVY126" s="220"/>
      <c r="SVZ126" s="221"/>
      <c r="SWA126" s="222"/>
      <c r="SWB126" s="222"/>
      <c r="SWC126" s="223"/>
      <c r="SWD126" s="223"/>
      <c r="SWE126" s="224"/>
      <c r="SWF126" s="223"/>
      <c r="SWG126" s="223"/>
      <c r="SWH126" s="223"/>
      <c r="SWI126" s="223"/>
      <c r="SWJ126" s="225"/>
      <c r="SWK126" s="220"/>
      <c r="SWL126" s="221"/>
      <c r="SWM126" s="222"/>
      <c r="SWN126" s="222"/>
      <c r="SWO126" s="223"/>
      <c r="SWP126" s="223"/>
      <c r="SWQ126" s="224"/>
      <c r="SWR126" s="223"/>
      <c r="SWS126" s="223"/>
      <c r="SWT126" s="223"/>
      <c r="SWU126" s="223"/>
      <c r="SWV126" s="225"/>
      <c r="SWW126" s="220"/>
      <c r="SWX126" s="221"/>
      <c r="SWY126" s="222"/>
      <c r="SWZ126" s="222"/>
      <c r="SXA126" s="223"/>
      <c r="SXB126" s="223"/>
      <c r="SXC126" s="224"/>
      <c r="SXD126" s="223"/>
      <c r="SXE126" s="223"/>
      <c r="SXF126" s="223"/>
      <c r="SXG126" s="223"/>
      <c r="SXH126" s="225"/>
      <c r="SXI126" s="220"/>
      <c r="SXJ126" s="221"/>
      <c r="SXK126" s="222"/>
      <c r="SXL126" s="222"/>
      <c r="SXM126" s="223"/>
      <c r="SXN126" s="223"/>
      <c r="SXO126" s="224"/>
      <c r="SXP126" s="223"/>
      <c r="SXQ126" s="223"/>
      <c r="SXR126" s="223"/>
      <c r="SXS126" s="223"/>
      <c r="SXT126" s="225"/>
      <c r="SXU126" s="220"/>
      <c r="SXV126" s="221"/>
      <c r="SXW126" s="222"/>
      <c r="SXX126" s="222"/>
      <c r="SXY126" s="223"/>
      <c r="SXZ126" s="223"/>
      <c r="SYA126" s="224"/>
      <c r="SYB126" s="223"/>
      <c r="SYC126" s="223"/>
      <c r="SYD126" s="223"/>
      <c r="SYE126" s="223"/>
      <c r="SYF126" s="225"/>
      <c r="SYG126" s="220"/>
      <c r="SYH126" s="221"/>
      <c r="SYI126" s="222"/>
      <c r="SYJ126" s="222"/>
      <c r="SYK126" s="223"/>
      <c r="SYL126" s="223"/>
      <c r="SYM126" s="224"/>
      <c r="SYN126" s="223"/>
      <c r="SYO126" s="223"/>
      <c r="SYP126" s="223"/>
      <c r="SYQ126" s="223"/>
      <c r="SYR126" s="225"/>
      <c r="SYS126" s="220"/>
      <c r="SYT126" s="221"/>
      <c r="SYU126" s="222"/>
      <c r="SYV126" s="222"/>
      <c r="SYW126" s="223"/>
      <c r="SYX126" s="223"/>
      <c r="SYY126" s="224"/>
      <c r="SYZ126" s="223"/>
      <c r="SZA126" s="223"/>
      <c r="SZB126" s="223"/>
      <c r="SZC126" s="223"/>
      <c r="SZD126" s="225"/>
      <c r="SZE126" s="220"/>
      <c r="SZF126" s="221"/>
      <c r="SZG126" s="222"/>
      <c r="SZH126" s="222"/>
      <c r="SZI126" s="223"/>
      <c r="SZJ126" s="223"/>
      <c r="SZK126" s="224"/>
      <c r="SZL126" s="223"/>
      <c r="SZM126" s="223"/>
      <c r="SZN126" s="223"/>
      <c r="SZO126" s="223"/>
      <c r="SZP126" s="225"/>
      <c r="SZQ126" s="220"/>
      <c r="SZR126" s="221"/>
      <c r="SZS126" s="222"/>
      <c r="SZT126" s="222"/>
      <c r="SZU126" s="223"/>
      <c r="SZV126" s="223"/>
      <c r="SZW126" s="224"/>
      <c r="SZX126" s="223"/>
      <c r="SZY126" s="223"/>
      <c r="SZZ126" s="223"/>
      <c r="TAA126" s="223"/>
      <c r="TAB126" s="225"/>
      <c r="TAC126" s="220"/>
      <c r="TAD126" s="221"/>
      <c r="TAE126" s="222"/>
      <c r="TAF126" s="222"/>
      <c r="TAG126" s="223"/>
      <c r="TAH126" s="223"/>
      <c r="TAI126" s="224"/>
      <c r="TAJ126" s="223"/>
      <c r="TAK126" s="223"/>
      <c r="TAL126" s="223"/>
      <c r="TAM126" s="223"/>
      <c r="TAN126" s="225"/>
      <c r="TAO126" s="220"/>
      <c r="TAP126" s="221"/>
      <c r="TAQ126" s="222"/>
      <c r="TAR126" s="222"/>
      <c r="TAS126" s="223"/>
      <c r="TAT126" s="223"/>
      <c r="TAU126" s="224"/>
      <c r="TAV126" s="223"/>
      <c r="TAW126" s="223"/>
      <c r="TAX126" s="223"/>
      <c r="TAY126" s="223"/>
      <c r="TAZ126" s="225"/>
      <c r="TBA126" s="220"/>
      <c r="TBB126" s="221"/>
      <c r="TBC126" s="222"/>
      <c r="TBD126" s="222"/>
      <c r="TBE126" s="223"/>
      <c r="TBF126" s="223"/>
      <c r="TBG126" s="224"/>
      <c r="TBH126" s="223"/>
      <c r="TBI126" s="223"/>
      <c r="TBJ126" s="223"/>
      <c r="TBK126" s="223"/>
      <c r="TBL126" s="225"/>
      <c r="TBM126" s="220"/>
      <c r="TBN126" s="221"/>
      <c r="TBO126" s="222"/>
      <c r="TBP126" s="222"/>
      <c r="TBQ126" s="223"/>
      <c r="TBR126" s="223"/>
      <c r="TBS126" s="224"/>
      <c r="TBT126" s="223"/>
      <c r="TBU126" s="223"/>
      <c r="TBV126" s="223"/>
      <c r="TBW126" s="223"/>
      <c r="TBX126" s="225"/>
      <c r="TBY126" s="220"/>
      <c r="TBZ126" s="221"/>
      <c r="TCA126" s="222"/>
      <c r="TCB126" s="222"/>
      <c r="TCC126" s="223"/>
      <c r="TCD126" s="223"/>
      <c r="TCE126" s="224"/>
      <c r="TCF126" s="223"/>
      <c r="TCG126" s="223"/>
      <c r="TCH126" s="223"/>
      <c r="TCI126" s="223"/>
      <c r="TCJ126" s="225"/>
      <c r="TCK126" s="220"/>
      <c r="TCL126" s="221"/>
      <c r="TCM126" s="222"/>
      <c r="TCN126" s="222"/>
      <c r="TCO126" s="223"/>
      <c r="TCP126" s="223"/>
      <c r="TCQ126" s="224"/>
      <c r="TCR126" s="223"/>
      <c r="TCS126" s="223"/>
      <c r="TCT126" s="223"/>
      <c r="TCU126" s="223"/>
      <c r="TCV126" s="225"/>
      <c r="TCW126" s="220"/>
      <c r="TCX126" s="221"/>
      <c r="TCY126" s="222"/>
      <c r="TCZ126" s="222"/>
      <c r="TDA126" s="223"/>
      <c r="TDB126" s="223"/>
      <c r="TDC126" s="224"/>
      <c r="TDD126" s="223"/>
      <c r="TDE126" s="223"/>
      <c r="TDF126" s="223"/>
      <c r="TDG126" s="223"/>
      <c r="TDH126" s="225"/>
      <c r="TDI126" s="220"/>
      <c r="TDJ126" s="221"/>
      <c r="TDK126" s="222"/>
      <c r="TDL126" s="222"/>
      <c r="TDM126" s="223"/>
      <c r="TDN126" s="223"/>
      <c r="TDO126" s="224"/>
      <c r="TDP126" s="223"/>
      <c r="TDQ126" s="223"/>
      <c r="TDR126" s="223"/>
      <c r="TDS126" s="223"/>
      <c r="TDT126" s="225"/>
      <c r="TDU126" s="220"/>
      <c r="TDV126" s="221"/>
      <c r="TDW126" s="222"/>
      <c r="TDX126" s="222"/>
      <c r="TDY126" s="223"/>
      <c r="TDZ126" s="223"/>
      <c r="TEA126" s="224"/>
      <c r="TEB126" s="223"/>
      <c r="TEC126" s="223"/>
      <c r="TED126" s="223"/>
      <c r="TEE126" s="223"/>
      <c r="TEF126" s="225"/>
      <c r="TEG126" s="220"/>
      <c r="TEH126" s="221"/>
      <c r="TEI126" s="222"/>
      <c r="TEJ126" s="222"/>
      <c r="TEK126" s="223"/>
      <c r="TEL126" s="223"/>
      <c r="TEM126" s="224"/>
      <c r="TEN126" s="223"/>
      <c r="TEO126" s="223"/>
      <c r="TEP126" s="223"/>
      <c r="TEQ126" s="223"/>
      <c r="TER126" s="225"/>
      <c r="TES126" s="220"/>
      <c r="TET126" s="221"/>
      <c r="TEU126" s="222"/>
      <c r="TEV126" s="222"/>
      <c r="TEW126" s="223"/>
      <c r="TEX126" s="223"/>
      <c r="TEY126" s="224"/>
      <c r="TEZ126" s="223"/>
      <c r="TFA126" s="223"/>
      <c r="TFB126" s="223"/>
      <c r="TFC126" s="223"/>
      <c r="TFD126" s="225"/>
      <c r="TFE126" s="220"/>
      <c r="TFF126" s="221"/>
      <c r="TFG126" s="222"/>
      <c r="TFH126" s="222"/>
      <c r="TFI126" s="223"/>
      <c r="TFJ126" s="223"/>
      <c r="TFK126" s="224"/>
      <c r="TFL126" s="223"/>
      <c r="TFM126" s="223"/>
      <c r="TFN126" s="223"/>
      <c r="TFO126" s="223"/>
      <c r="TFP126" s="225"/>
      <c r="TFQ126" s="220"/>
      <c r="TFR126" s="221"/>
      <c r="TFS126" s="222"/>
      <c r="TFT126" s="222"/>
      <c r="TFU126" s="223"/>
      <c r="TFV126" s="223"/>
      <c r="TFW126" s="224"/>
      <c r="TFX126" s="223"/>
      <c r="TFY126" s="223"/>
      <c r="TFZ126" s="223"/>
      <c r="TGA126" s="223"/>
      <c r="TGB126" s="225"/>
      <c r="TGC126" s="220"/>
      <c r="TGD126" s="221"/>
      <c r="TGE126" s="222"/>
      <c r="TGF126" s="222"/>
      <c r="TGG126" s="223"/>
      <c r="TGH126" s="223"/>
      <c r="TGI126" s="224"/>
      <c r="TGJ126" s="223"/>
      <c r="TGK126" s="223"/>
      <c r="TGL126" s="223"/>
      <c r="TGM126" s="223"/>
      <c r="TGN126" s="225"/>
      <c r="TGO126" s="220"/>
      <c r="TGP126" s="221"/>
      <c r="TGQ126" s="222"/>
      <c r="TGR126" s="222"/>
      <c r="TGS126" s="223"/>
      <c r="TGT126" s="223"/>
      <c r="TGU126" s="224"/>
      <c r="TGV126" s="223"/>
      <c r="TGW126" s="223"/>
      <c r="TGX126" s="223"/>
      <c r="TGY126" s="223"/>
      <c r="TGZ126" s="225"/>
      <c r="THA126" s="220"/>
      <c r="THB126" s="221"/>
      <c r="THC126" s="222"/>
      <c r="THD126" s="222"/>
      <c r="THE126" s="223"/>
      <c r="THF126" s="223"/>
      <c r="THG126" s="224"/>
      <c r="THH126" s="223"/>
      <c r="THI126" s="223"/>
      <c r="THJ126" s="223"/>
      <c r="THK126" s="223"/>
      <c r="THL126" s="225"/>
      <c r="THM126" s="220"/>
      <c r="THN126" s="221"/>
      <c r="THO126" s="222"/>
      <c r="THP126" s="222"/>
      <c r="THQ126" s="223"/>
      <c r="THR126" s="223"/>
      <c r="THS126" s="224"/>
      <c r="THT126" s="223"/>
      <c r="THU126" s="223"/>
      <c r="THV126" s="223"/>
      <c r="THW126" s="223"/>
      <c r="THX126" s="225"/>
      <c r="THY126" s="220"/>
      <c r="THZ126" s="221"/>
      <c r="TIA126" s="222"/>
      <c r="TIB126" s="222"/>
      <c r="TIC126" s="223"/>
      <c r="TID126" s="223"/>
      <c r="TIE126" s="224"/>
      <c r="TIF126" s="223"/>
      <c r="TIG126" s="223"/>
      <c r="TIH126" s="223"/>
      <c r="TII126" s="223"/>
      <c r="TIJ126" s="225"/>
      <c r="TIK126" s="220"/>
      <c r="TIL126" s="221"/>
      <c r="TIM126" s="222"/>
      <c r="TIN126" s="222"/>
      <c r="TIO126" s="223"/>
      <c r="TIP126" s="223"/>
      <c r="TIQ126" s="224"/>
      <c r="TIR126" s="223"/>
      <c r="TIS126" s="223"/>
      <c r="TIT126" s="223"/>
      <c r="TIU126" s="223"/>
      <c r="TIV126" s="225"/>
      <c r="TIW126" s="220"/>
      <c r="TIX126" s="221"/>
      <c r="TIY126" s="222"/>
      <c r="TIZ126" s="222"/>
      <c r="TJA126" s="223"/>
      <c r="TJB126" s="223"/>
      <c r="TJC126" s="224"/>
      <c r="TJD126" s="223"/>
      <c r="TJE126" s="223"/>
      <c r="TJF126" s="223"/>
      <c r="TJG126" s="223"/>
      <c r="TJH126" s="225"/>
      <c r="TJI126" s="220"/>
      <c r="TJJ126" s="221"/>
      <c r="TJK126" s="222"/>
      <c r="TJL126" s="222"/>
      <c r="TJM126" s="223"/>
      <c r="TJN126" s="223"/>
      <c r="TJO126" s="224"/>
      <c r="TJP126" s="223"/>
      <c r="TJQ126" s="223"/>
      <c r="TJR126" s="223"/>
      <c r="TJS126" s="223"/>
      <c r="TJT126" s="225"/>
      <c r="TJU126" s="220"/>
      <c r="TJV126" s="221"/>
      <c r="TJW126" s="222"/>
      <c r="TJX126" s="222"/>
      <c r="TJY126" s="223"/>
      <c r="TJZ126" s="223"/>
      <c r="TKA126" s="224"/>
      <c r="TKB126" s="223"/>
      <c r="TKC126" s="223"/>
      <c r="TKD126" s="223"/>
      <c r="TKE126" s="223"/>
      <c r="TKF126" s="225"/>
      <c r="TKG126" s="220"/>
      <c r="TKH126" s="221"/>
      <c r="TKI126" s="222"/>
      <c r="TKJ126" s="222"/>
      <c r="TKK126" s="223"/>
      <c r="TKL126" s="223"/>
      <c r="TKM126" s="224"/>
      <c r="TKN126" s="223"/>
      <c r="TKO126" s="223"/>
      <c r="TKP126" s="223"/>
      <c r="TKQ126" s="223"/>
      <c r="TKR126" s="225"/>
      <c r="TKS126" s="220"/>
      <c r="TKT126" s="221"/>
      <c r="TKU126" s="222"/>
      <c r="TKV126" s="222"/>
      <c r="TKW126" s="223"/>
      <c r="TKX126" s="223"/>
      <c r="TKY126" s="224"/>
      <c r="TKZ126" s="223"/>
      <c r="TLA126" s="223"/>
      <c r="TLB126" s="223"/>
      <c r="TLC126" s="223"/>
      <c r="TLD126" s="225"/>
      <c r="TLE126" s="220"/>
      <c r="TLF126" s="221"/>
      <c r="TLG126" s="222"/>
      <c r="TLH126" s="222"/>
      <c r="TLI126" s="223"/>
      <c r="TLJ126" s="223"/>
      <c r="TLK126" s="224"/>
      <c r="TLL126" s="223"/>
      <c r="TLM126" s="223"/>
      <c r="TLN126" s="223"/>
      <c r="TLO126" s="223"/>
      <c r="TLP126" s="225"/>
      <c r="TLQ126" s="220"/>
      <c r="TLR126" s="221"/>
      <c r="TLS126" s="222"/>
      <c r="TLT126" s="222"/>
      <c r="TLU126" s="223"/>
      <c r="TLV126" s="223"/>
      <c r="TLW126" s="224"/>
      <c r="TLX126" s="223"/>
      <c r="TLY126" s="223"/>
      <c r="TLZ126" s="223"/>
      <c r="TMA126" s="223"/>
      <c r="TMB126" s="225"/>
      <c r="TMC126" s="220"/>
      <c r="TMD126" s="221"/>
      <c r="TME126" s="222"/>
      <c r="TMF126" s="222"/>
      <c r="TMG126" s="223"/>
      <c r="TMH126" s="223"/>
      <c r="TMI126" s="224"/>
      <c r="TMJ126" s="223"/>
      <c r="TMK126" s="223"/>
      <c r="TML126" s="223"/>
      <c r="TMM126" s="223"/>
      <c r="TMN126" s="225"/>
      <c r="TMO126" s="220"/>
      <c r="TMP126" s="221"/>
      <c r="TMQ126" s="222"/>
      <c r="TMR126" s="222"/>
      <c r="TMS126" s="223"/>
      <c r="TMT126" s="223"/>
      <c r="TMU126" s="224"/>
      <c r="TMV126" s="223"/>
      <c r="TMW126" s="223"/>
      <c r="TMX126" s="223"/>
      <c r="TMY126" s="223"/>
      <c r="TMZ126" s="225"/>
      <c r="TNA126" s="220"/>
      <c r="TNB126" s="221"/>
      <c r="TNC126" s="222"/>
      <c r="TND126" s="222"/>
      <c r="TNE126" s="223"/>
      <c r="TNF126" s="223"/>
      <c r="TNG126" s="224"/>
      <c r="TNH126" s="223"/>
      <c r="TNI126" s="223"/>
      <c r="TNJ126" s="223"/>
      <c r="TNK126" s="223"/>
      <c r="TNL126" s="225"/>
      <c r="TNM126" s="220"/>
      <c r="TNN126" s="221"/>
      <c r="TNO126" s="222"/>
      <c r="TNP126" s="222"/>
      <c r="TNQ126" s="223"/>
      <c r="TNR126" s="223"/>
      <c r="TNS126" s="224"/>
      <c r="TNT126" s="223"/>
      <c r="TNU126" s="223"/>
      <c r="TNV126" s="223"/>
      <c r="TNW126" s="223"/>
      <c r="TNX126" s="225"/>
      <c r="TNY126" s="220"/>
      <c r="TNZ126" s="221"/>
      <c r="TOA126" s="222"/>
      <c r="TOB126" s="222"/>
      <c r="TOC126" s="223"/>
      <c r="TOD126" s="223"/>
      <c r="TOE126" s="224"/>
      <c r="TOF126" s="223"/>
      <c r="TOG126" s="223"/>
      <c r="TOH126" s="223"/>
      <c r="TOI126" s="223"/>
      <c r="TOJ126" s="225"/>
      <c r="TOK126" s="220"/>
      <c r="TOL126" s="221"/>
      <c r="TOM126" s="222"/>
      <c r="TON126" s="222"/>
      <c r="TOO126" s="223"/>
      <c r="TOP126" s="223"/>
      <c r="TOQ126" s="224"/>
      <c r="TOR126" s="223"/>
      <c r="TOS126" s="223"/>
      <c r="TOT126" s="223"/>
      <c r="TOU126" s="223"/>
      <c r="TOV126" s="225"/>
      <c r="TOW126" s="220"/>
      <c r="TOX126" s="221"/>
      <c r="TOY126" s="222"/>
      <c r="TOZ126" s="222"/>
      <c r="TPA126" s="223"/>
      <c r="TPB126" s="223"/>
      <c r="TPC126" s="224"/>
      <c r="TPD126" s="223"/>
      <c r="TPE126" s="223"/>
      <c r="TPF126" s="223"/>
      <c r="TPG126" s="223"/>
      <c r="TPH126" s="225"/>
      <c r="TPI126" s="220"/>
      <c r="TPJ126" s="221"/>
      <c r="TPK126" s="222"/>
      <c r="TPL126" s="222"/>
      <c r="TPM126" s="223"/>
      <c r="TPN126" s="223"/>
      <c r="TPO126" s="224"/>
      <c r="TPP126" s="223"/>
      <c r="TPQ126" s="223"/>
      <c r="TPR126" s="223"/>
      <c r="TPS126" s="223"/>
      <c r="TPT126" s="225"/>
      <c r="TPU126" s="220"/>
      <c r="TPV126" s="221"/>
      <c r="TPW126" s="222"/>
      <c r="TPX126" s="222"/>
      <c r="TPY126" s="223"/>
      <c r="TPZ126" s="223"/>
      <c r="TQA126" s="224"/>
      <c r="TQB126" s="223"/>
      <c r="TQC126" s="223"/>
      <c r="TQD126" s="223"/>
      <c r="TQE126" s="223"/>
      <c r="TQF126" s="225"/>
      <c r="TQG126" s="220"/>
      <c r="TQH126" s="221"/>
      <c r="TQI126" s="222"/>
      <c r="TQJ126" s="222"/>
      <c r="TQK126" s="223"/>
      <c r="TQL126" s="223"/>
      <c r="TQM126" s="224"/>
      <c r="TQN126" s="223"/>
      <c r="TQO126" s="223"/>
      <c r="TQP126" s="223"/>
      <c r="TQQ126" s="223"/>
      <c r="TQR126" s="225"/>
      <c r="TQS126" s="220"/>
      <c r="TQT126" s="221"/>
      <c r="TQU126" s="222"/>
      <c r="TQV126" s="222"/>
      <c r="TQW126" s="223"/>
      <c r="TQX126" s="223"/>
      <c r="TQY126" s="224"/>
      <c r="TQZ126" s="223"/>
      <c r="TRA126" s="223"/>
      <c r="TRB126" s="223"/>
      <c r="TRC126" s="223"/>
      <c r="TRD126" s="225"/>
      <c r="TRE126" s="220"/>
      <c r="TRF126" s="221"/>
      <c r="TRG126" s="222"/>
      <c r="TRH126" s="222"/>
      <c r="TRI126" s="223"/>
      <c r="TRJ126" s="223"/>
      <c r="TRK126" s="224"/>
      <c r="TRL126" s="223"/>
      <c r="TRM126" s="223"/>
      <c r="TRN126" s="223"/>
      <c r="TRO126" s="223"/>
      <c r="TRP126" s="225"/>
      <c r="TRQ126" s="220"/>
      <c r="TRR126" s="221"/>
      <c r="TRS126" s="222"/>
      <c r="TRT126" s="222"/>
      <c r="TRU126" s="223"/>
      <c r="TRV126" s="223"/>
      <c r="TRW126" s="224"/>
      <c r="TRX126" s="223"/>
      <c r="TRY126" s="223"/>
      <c r="TRZ126" s="223"/>
      <c r="TSA126" s="223"/>
      <c r="TSB126" s="225"/>
      <c r="TSC126" s="220"/>
      <c r="TSD126" s="221"/>
      <c r="TSE126" s="222"/>
      <c r="TSF126" s="222"/>
      <c r="TSG126" s="223"/>
      <c r="TSH126" s="223"/>
      <c r="TSI126" s="224"/>
      <c r="TSJ126" s="223"/>
      <c r="TSK126" s="223"/>
      <c r="TSL126" s="223"/>
      <c r="TSM126" s="223"/>
      <c r="TSN126" s="225"/>
      <c r="TSO126" s="220"/>
      <c r="TSP126" s="221"/>
      <c r="TSQ126" s="222"/>
      <c r="TSR126" s="222"/>
      <c r="TSS126" s="223"/>
      <c r="TST126" s="223"/>
      <c r="TSU126" s="224"/>
      <c r="TSV126" s="223"/>
      <c r="TSW126" s="223"/>
      <c r="TSX126" s="223"/>
      <c r="TSY126" s="223"/>
      <c r="TSZ126" s="225"/>
      <c r="TTA126" s="220"/>
      <c r="TTB126" s="221"/>
      <c r="TTC126" s="222"/>
      <c r="TTD126" s="222"/>
      <c r="TTE126" s="223"/>
      <c r="TTF126" s="223"/>
      <c r="TTG126" s="224"/>
      <c r="TTH126" s="223"/>
      <c r="TTI126" s="223"/>
      <c r="TTJ126" s="223"/>
      <c r="TTK126" s="223"/>
      <c r="TTL126" s="225"/>
      <c r="TTM126" s="220"/>
      <c r="TTN126" s="221"/>
      <c r="TTO126" s="222"/>
      <c r="TTP126" s="222"/>
      <c r="TTQ126" s="223"/>
      <c r="TTR126" s="223"/>
      <c r="TTS126" s="224"/>
      <c r="TTT126" s="223"/>
      <c r="TTU126" s="223"/>
      <c r="TTV126" s="223"/>
      <c r="TTW126" s="223"/>
      <c r="TTX126" s="225"/>
      <c r="TTY126" s="220"/>
      <c r="TTZ126" s="221"/>
      <c r="TUA126" s="222"/>
      <c r="TUB126" s="222"/>
      <c r="TUC126" s="223"/>
      <c r="TUD126" s="223"/>
      <c r="TUE126" s="224"/>
      <c r="TUF126" s="223"/>
      <c r="TUG126" s="223"/>
      <c r="TUH126" s="223"/>
      <c r="TUI126" s="223"/>
      <c r="TUJ126" s="225"/>
      <c r="TUK126" s="220"/>
      <c r="TUL126" s="221"/>
      <c r="TUM126" s="222"/>
      <c r="TUN126" s="222"/>
      <c r="TUO126" s="223"/>
      <c r="TUP126" s="223"/>
      <c r="TUQ126" s="224"/>
      <c r="TUR126" s="223"/>
      <c r="TUS126" s="223"/>
      <c r="TUT126" s="223"/>
      <c r="TUU126" s="223"/>
      <c r="TUV126" s="225"/>
      <c r="TUW126" s="220"/>
      <c r="TUX126" s="221"/>
      <c r="TUY126" s="222"/>
      <c r="TUZ126" s="222"/>
      <c r="TVA126" s="223"/>
      <c r="TVB126" s="223"/>
      <c r="TVC126" s="224"/>
      <c r="TVD126" s="223"/>
      <c r="TVE126" s="223"/>
      <c r="TVF126" s="223"/>
      <c r="TVG126" s="223"/>
      <c r="TVH126" s="225"/>
      <c r="TVI126" s="220"/>
      <c r="TVJ126" s="221"/>
      <c r="TVK126" s="222"/>
      <c r="TVL126" s="222"/>
      <c r="TVM126" s="223"/>
      <c r="TVN126" s="223"/>
      <c r="TVO126" s="224"/>
      <c r="TVP126" s="223"/>
      <c r="TVQ126" s="223"/>
      <c r="TVR126" s="223"/>
      <c r="TVS126" s="223"/>
      <c r="TVT126" s="225"/>
      <c r="TVU126" s="220"/>
      <c r="TVV126" s="221"/>
      <c r="TVW126" s="222"/>
      <c r="TVX126" s="222"/>
      <c r="TVY126" s="223"/>
      <c r="TVZ126" s="223"/>
      <c r="TWA126" s="224"/>
      <c r="TWB126" s="223"/>
      <c r="TWC126" s="223"/>
      <c r="TWD126" s="223"/>
      <c r="TWE126" s="223"/>
      <c r="TWF126" s="225"/>
      <c r="TWG126" s="220"/>
      <c r="TWH126" s="221"/>
      <c r="TWI126" s="222"/>
      <c r="TWJ126" s="222"/>
      <c r="TWK126" s="223"/>
      <c r="TWL126" s="223"/>
      <c r="TWM126" s="224"/>
      <c r="TWN126" s="223"/>
      <c r="TWO126" s="223"/>
      <c r="TWP126" s="223"/>
      <c r="TWQ126" s="223"/>
      <c r="TWR126" s="225"/>
      <c r="TWS126" s="220"/>
      <c r="TWT126" s="221"/>
      <c r="TWU126" s="222"/>
      <c r="TWV126" s="222"/>
      <c r="TWW126" s="223"/>
      <c r="TWX126" s="223"/>
      <c r="TWY126" s="224"/>
      <c r="TWZ126" s="223"/>
      <c r="TXA126" s="223"/>
      <c r="TXB126" s="223"/>
      <c r="TXC126" s="223"/>
      <c r="TXD126" s="225"/>
      <c r="TXE126" s="220"/>
      <c r="TXF126" s="221"/>
      <c r="TXG126" s="222"/>
      <c r="TXH126" s="222"/>
      <c r="TXI126" s="223"/>
      <c r="TXJ126" s="223"/>
      <c r="TXK126" s="224"/>
      <c r="TXL126" s="223"/>
      <c r="TXM126" s="223"/>
      <c r="TXN126" s="223"/>
      <c r="TXO126" s="223"/>
      <c r="TXP126" s="225"/>
      <c r="TXQ126" s="220"/>
      <c r="TXR126" s="221"/>
      <c r="TXS126" s="222"/>
      <c r="TXT126" s="222"/>
      <c r="TXU126" s="223"/>
      <c r="TXV126" s="223"/>
      <c r="TXW126" s="224"/>
      <c r="TXX126" s="223"/>
      <c r="TXY126" s="223"/>
      <c r="TXZ126" s="223"/>
      <c r="TYA126" s="223"/>
      <c r="TYB126" s="225"/>
      <c r="TYC126" s="220"/>
      <c r="TYD126" s="221"/>
      <c r="TYE126" s="222"/>
      <c r="TYF126" s="222"/>
      <c r="TYG126" s="223"/>
      <c r="TYH126" s="223"/>
      <c r="TYI126" s="224"/>
      <c r="TYJ126" s="223"/>
      <c r="TYK126" s="223"/>
      <c r="TYL126" s="223"/>
      <c r="TYM126" s="223"/>
      <c r="TYN126" s="225"/>
      <c r="TYO126" s="220"/>
      <c r="TYP126" s="221"/>
      <c r="TYQ126" s="222"/>
      <c r="TYR126" s="222"/>
      <c r="TYS126" s="223"/>
      <c r="TYT126" s="223"/>
      <c r="TYU126" s="224"/>
      <c r="TYV126" s="223"/>
      <c r="TYW126" s="223"/>
      <c r="TYX126" s="223"/>
      <c r="TYY126" s="223"/>
      <c r="TYZ126" s="225"/>
      <c r="TZA126" s="220"/>
      <c r="TZB126" s="221"/>
      <c r="TZC126" s="222"/>
      <c r="TZD126" s="222"/>
      <c r="TZE126" s="223"/>
      <c r="TZF126" s="223"/>
      <c r="TZG126" s="224"/>
      <c r="TZH126" s="223"/>
      <c r="TZI126" s="223"/>
      <c r="TZJ126" s="223"/>
      <c r="TZK126" s="223"/>
      <c r="TZL126" s="225"/>
      <c r="TZM126" s="220"/>
      <c r="TZN126" s="221"/>
      <c r="TZO126" s="222"/>
      <c r="TZP126" s="222"/>
      <c r="TZQ126" s="223"/>
      <c r="TZR126" s="223"/>
      <c r="TZS126" s="224"/>
      <c r="TZT126" s="223"/>
      <c r="TZU126" s="223"/>
      <c r="TZV126" s="223"/>
      <c r="TZW126" s="223"/>
      <c r="TZX126" s="225"/>
      <c r="TZY126" s="220"/>
      <c r="TZZ126" s="221"/>
      <c r="UAA126" s="222"/>
      <c r="UAB126" s="222"/>
      <c r="UAC126" s="223"/>
      <c r="UAD126" s="223"/>
      <c r="UAE126" s="224"/>
      <c r="UAF126" s="223"/>
      <c r="UAG126" s="223"/>
      <c r="UAH126" s="223"/>
      <c r="UAI126" s="223"/>
      <c r="UAJ126" s="225"/>
      <c r="UAK126" s="220"/>
      <c r="UAL126" s="221"/>
      <c r="UAM126" s="222"/>
      <c r="UAN126" s="222"/>
      <c r="UAO126" s="223"/>
      <c r="UAP126" s="223"/>
      <c r="UAQ126" s="224"/>
      <c r="UAR126" s="223"/>
      <c r="UAS126" s="223"/>
      <c r="UAT126" s="223"/>
      <c r="UAU126" s="223"/>
      <c r="UAV126" s="225"/>
      <c r="UAW126" s="220"/>
      <c r="UAX126" s="221"/>
      <c r="UAY126" s="222"/>
      <c r="UAZ126" s="222"/>
      <c r="UBA126" s="223"/>
      <c r="UBB126" s="223"/>
      <c r="UBC126" s="224"/>
      <c r="UBD126" s="223"/>
      <c r="UBE126" s="223"/>
      <c r="UBF126" s="223"/>
      <c r="UBG126" s="223"/>
      <c r="UBH126" s="225"/>
      <c r="UBI126" s="220"/>
      <c r="UBJ126" s="221"/>
      <c r="UBK126" s="222"/>
      <c r="UBL126" s="222"/>
      <c r="UBM126" s="223"/>
      <c r="UBN126" s="223"/>
      <c r="UBO126" s="224"/>
      <c r="UBP126" s="223"/>
      <c r="UBQ126" s="223"/>
      <c r="UBR126" s="223"/>
      <c r="UBS126" s="223"/>
      <c r="UBT126" s="225"/>
      <c r="UBU126" s="220"/>
      <c r="UBV126" s="221"/>
      <c r="UBW126" s="222"/>
      <c r="UBX126" s="222"/>
      <c r="UBY126" s="223"/>
      <c r="UBZ126" s="223"/>
      <c r="UCA126" s="224"/>
      <c r="UCB126" s="223"/>
      <c r="UCC126" s="223"/>
      <c r="UCD126" s="223"/>
      <c r="UCE126" s="223"/>
      <c r="UCF126" s="225"/>
      <c r="UCG126" s="220"/>
      <c r="UCH126" s="221"/>
      <c r="UCI126" s="222"/>
      <c r="UCJ126" s="222"/>
      <c r="UCK126" s="223"/>
      <c r="UCL126" s="223"/>
      <c r="UCM126" s="224"/>
      <c r="UCN126" s="223"/>
      <c r="UCO126" s="223"/>
      <c r="UCP126" s="223"/>
      <c r="UCQ126" s="223"/>
      <c r="UCR126" s="225"/>
      <c r="UCS126" s="220"/>
      <c r="UCT126" s="221"/>
      <c r="UCU126" s="222"/>
      <c r="UCV126" s="222"/>
      <c r="UCW126" s="223"/>
      <c r="UCX126" s="223"/>
      <c r="UCY126" s="224"/>
      <c r="UCZ126" s="223"/>
      <c r="UDA126" s="223"/>
      <c r="UDB126" s="223"/>
      <c r="UDC126" s="223"/>
      <c r="UDD126" s="225"/>
      <c r="UDE126" s="220"/>
      <c r="UDF126" s="221"/>
      <c r="UDG126" s="222"/>
      <c r="UDH126" s="222"/>
      <c r="UDI126" s="223"/>
      <c r="UDJ126" s="223"/>
      <c r="UDK126" s="224"/>
      <c r="UDL126" s="223"/>
      <c r="UDM126" s="223"/>
      <c r="UDN126" s="223"/>
      <c r="UDO126" s="223"/>
      <c r="UDP126" s="225"/>
      <c r="UDQ126" s="220"/>
      <c r="UDR126" s="221"/>
      <c r="UDS126" s="222"/>
      <c r="UDT126" s="222"/>
      <c r="UDU126" s="223"/>
      <c r="UDV126" s="223"/>
      <c r="UDW126" s="224"/>
      <c r="UDX126" s="223"/>
      <c r="UDY126" s="223"/>
      <c r="UDZ126" s="223"/>
      <c r="UEA126" s="223"/>
      <c r="UEB126" s="225"/>
      <c r="UEC126" s="220"/>
      <c r="UED126" s="221"/>
      <c r="UEE126" s="222"/>
      <c r="UEF126" s="222"/>
      <c r="UEG126" s="223"/>
      <c r="UEH126" s="223"/>
      <c r="UEI126" s="224"/>
      <c r="UEJ126" s="223"/>
      <c r="UEK126" s="223"/>
      <c r="UEL126" s="223"/>
      <c r="UEM126" s="223"/>
      <c r="UEN126" s="225"/>
      <c r="UEO126" s="220"/>
      <c r="UEP126" s="221"/>
      <c r="UEQ126" s="222"/>
      <c r="UER126" s="222"/>
      <c r="UES126" s="223"/>
      <c r="UET126" s="223"/>
      <c r="UEU126" s="224"/>
      <c r="UEV126" s="223"/>
      <c r="UEW126" s="223"/>
      <c r="UEX126" s="223"/>
      <c r="UEY126" s="223"/>
      <c r="UEZ126" s="225"/>
      <c r="UFA126" s="220"/>
      <c r="UFB126" s="221"/>
      <c r="UFC126" s="222"/>
      <c r="UFD126" s="222"/>
      <c r="UFE126" s="223"/>
      <c r="UFF126" s="223"/>
      <c r="UFG126" s="224"/>
      <c r="UFH126" s="223"/>
      <c r="UFI126" s="223"/>
      <c r="UFJ126" s="223"/>
      <c r="UFK126" s="223"/>
      <c r="UFL126" s="225"/>
      <c r="UFM126" s="220"/>
      <c r="UFN126" s="221"/>
      <c r="UFO126" s="222"/>
      <c r="UFP126" s="222"/>
      <c r="UFQ126" s="223"/>
      <c r="UFR126" s="223"/>
      <c r="UFS126" s="224"/>
      <c r="UFT126" s="223"/>
      <c r="UFU126" s="223"/>
      <c r="UFV126" s="223"/>
      <c r="UFW126" s="223"/>
      <c r="UFX126" s="225"/>
      <c r="UFY126" s="220"/>
      <c r="UFZ126" s="221"/>
      <c r="UGA126" s="222"/>
      <c r="UGB126" s="222"/>
      <c r="UGC126" s="223"/>
      <c r="UGD126" s="223"/>
      <c r="UGE126" s="224"/>
      <c r="UGF126" s="223"/>
      <c r="UGG126" s="223"/>
      <c r="UGH126" s="223"/>
      <c r="UGI126" s="223"/>
      <c r="UGJ126" s="225"/>
      <c r="UGK126" s="220"/>
      <c r="UGL126" s="221"/>
      <c r="UGM126" s="222"/>
      <c r="UGN126" s="222"/>
      <c r="UGO126" s="223"/>
      <c r="UGP126" s="223"/>
      <c r="UGQ126" s="224"/>
      <c r="UGR126" s="223"/>
      <c r="UGS126" s="223"/>
      <c r="UGT126" s="223"/>
      <c r="UGU126" s="223"/>
      <c r="UGV126" s="225"/>
      <c r="UGW126" s="220"/>
      <c r="UGX126" s="221"/>
      <c r="UGY126" s="222"/>
      <c r="UGZ126" s="222"/>
      <c r="UHA126" s="223"/>
      <c r="UHB126" s="223"/>
      <c r="UHC126" s="224"/>
      <c r="UHD126" s="223"/>
      <c r="UHE126" s="223"/>
      <c r="UHF126" s="223"/>
      <c r="UHG126" s="223"/>
      <c r="UHH126" s="225"/>
      <c r="UHI126" s="220"/>
      <c r="UHJ126" s="221"/>
      <c r="UHK126" s="222"/>
      <c r="UHL126" s="222"/>
      <c r="UHM126" s="223"/>
      <c r="UHN126" s="223"/>
      <c r="UHO126" s="224"/>
      <c r="UHP126" s="223"/>
      <c r="UHQ126" s="223"/>
      <c r="UHR126" s="223"/>
      <c r="UHS126" s="223"/>
      <c r="UHT126" s="225"/>
      <c r="UHU126" s="220"/>
      <c r="UHV126" s="221"/>
      <c r="UHW126" s="222"/>
      <c r="UHX126" s="222"/>
      <c r="UHY126" s="223"/>
      <c r="UHZ126" s="223"/>
      <c r="UIA126" s="224"/>
      <c r="UIB126" s="223"/>
      <c r="UIC126" s="223"/>
      <c r="UID126" s="223"/>
      <c r="UIE126" s="223"/>
      <c r="UIF126" s="225"/>
      <c r="UIG126" s="220"/>
      <c r="UIH126" s="221"/>
      <c r="UII126" s="222"/>
      <c r="UIJ126" s="222"/>
      <c r="UIK126" s="223"/>
      <c r="UIL126" s="223"/>
      <c r="UIM126" s="224"/>
      <c r="UIN126" s="223"/>
      <c r="UIO126" s="223"/>
      <c r="UIP126" s="223"/>
      <c r="UIQ126" s="223"/>
      <c r="UIR126" s="225"/>
      <c r="UIS126" s="220"/>
      <c r="UIT126" s="221"/>
      <c r="UIU126" s="222"/>
      <c r="UIV126" s="222"/>
      <c r="UIW126" s="223"/>
      <c r="UIX126" s="223"/>
      <c r="UIY126" s="224"/>
      <c r="UIZ126" s="223"/>
      <c r="UJA126" s="223"/>
      <c r="UJB126" s="223"/>
      <c r="UJC126" s="223"/>
      <c r="UJD126" s="225"/>
      <c r="UJE126" s="220"/>
      <c r="UJF126" s="221"/>
      <c r="UJG126" s="222"/>
      <c r="UJH126" s="222"/>
      <c r="UJI126" s="223"/>
      <c r="UJJ126" s="223"/>
      <c r="UJK126" s="224"/>
      <c r="UJL126" s="223"/>
      <c r="UJM126" s="223"/>
      <c r="UJN126" s="223"/>
      <c r="UJO126" s="223"/>
      <c r="UJP126" s="225"/>
      <c r="UJQ126" s="220"/>
      <c r="UJR126" s="221"/>
      <c r="UJS126" s="222"/>
      <c r="UJT126" s="222"/>
      <c r="UJU126" s="223"/>
      <c r="UJV126" s="223"/>
      <c r="UJW126" s="224"/>
      <c r="UJX126" s="223"/>
      <c r="UJY126" s="223"/>
      <c r="UJZ126" s="223"/>
      <c r="UKA126" s="223"/>
      <c r="UKB126" s="225"/>
      <c r="UKC126" s="220"/>
      <c r="UKD126" s="221"/>
      <c r="UKE126" s="222"/>
      <c r="UKF126" s="222"/>
      <c r="UKG126" s="223"/>
      <c r="UKH126" s="223"/>
      <c r="UKI126" s="224"/>
      <c r="UKJ126" s="223"/>
      <c r="UKK126" s="223"/>
      <c r="UKL126" s="223"/>
      <c r="UKM126" s="223"/>
      <c r="UKN126" s="225"/>
      <c r="UKO126" s="220"/>
      <c r="UKP126" s="221"/>
      <c r="UKQ126" s="222"/>
      <c r="UKR126" s="222"/>
      <c r="UKS126" s="223"/>
      <c r="UKT126" s="223"/>
      <c r="UKU126" s="224"/>
      <c r="UKV126" s="223"/>
      <c r="UKW126" s="223"/>
      <c r="UKX126" s="223"/>
      <c r="UKY126" s="223"/>
      <c r="UKZ126" s="225"/>
      <c r="ULA126" s="220"/>
      <c r="ULB126" s="221"/>
      <c r="ULC126" s="222"/>
      <c r="ULD126" s="222"/>
      <c r="ULE126" s="223"/>
      <c r="ULF126" s="223"/>
      <c r="ULG126" s="224"/>
      <c r="ULH126" s="223"/>
      <c r="ULI126" s="223"/>
      <c r="ULJ126" s="223"/>
      <c r="ULK126" s="223"/>
      <c r="ULL126" s="225"/>
      <c r="ULM126" s="220"/>
      <c r="ULN126" s="221"/>
      <c r="ULO126" s="222"/>
      <c r="ULP126" s="222"/>
      <c r="ULQ126" s="223"/>
      <c r="ULR126" s="223"/>
      <c r="ULS126" s="224"/>
      <c r="ULT126" s="223"/>
      <c r="ULU126" s="223"/>
      <c r="ULV126" s="223"/>
      <c r="ULW126" s="223"/>
      <c r="ULX126" s="225"/>
      <c r="ULY126" s="220"/>
      <c r="ULZ126" s="221"/>
      <c r="UMA126" s="222"/>
      <c r="UMB126" s="222"/>
      <c r="UMC126" s="223"/>
      <c r="UMD126" s="223"/>
      <c r="UME126" s="224"/>
      <c r="UMF126" s="223"/>
      <c r="UMG126" s="223"/>
      <c r="UMH126" s="223"/>
      <c r="UMI126" s="223"/>
      <c r="UMJ126" s="225"/>
      <c r="UMK126" s="220"/>
      <c r="UML126" s="221"/>
      <c r="UMM126" s="222"/>
      <c r="UMN126" s="222"/>
      <c r="UMO126" s="223"/>
      <c r="UMP126" s="223"/>
      <c r="UMQ126" s="224"/>
      <c r="UMR126" s="223"/>
      <c r="UMS126" s="223"/>
      <c r="UMT126" s="223"/>
      <c r="UMU126" s="223"/>
      <c r="UMV126" s="225"/>
      <c r="UMW126" s="220"/>
      <c r="UMX126" s="221"/>
      <c r="UMY126" s="222"/>
      <c r="UMZ126" s="222"/>
      <c r="UNA126" s="223"/>
      <c r="UNB126" s="223"/>
      <c r="UNC126" s="224"/>
      <c r="UND126" s="223"/>
      <c r="UNE126" s="223"/>
      <c r="UNF126" s="223"/>
      <c r="UNG126" s="223"/>
      <c r="UNH126" s="225"/>
      <c r="UNI126" s="220"/>
      <c r="UNJ126" s="221"/>
      <c r="UNK126" s="222"/>
      <c r="UNL126" s="222"/>
      <c r="UNM126" s="223"/>
      <c r="UNN126" s="223"/>
      <c r="UNO126" s="224"/>
      <c r="UNP126" s="223"/>
      <c r="UNQ126" s="223"/>
      <c r="UNR126" s="223"/>
      <c r="UNS126" s="223"/>
      <c r="UNT126" s="225"/>
      <c r="UNU126" s="220"/>
      <c r="UNV126" s="221"/>
      <c r="UNW126" s="222"/>
      <c r="UNX126" s="222"/>
      <c r="UNY126" s="223"/>
      <c r="UNZ126" s="223"/>
      <c r="UOA126" s="224"/>
      <c r="UOB126" s="223"/>
      <c r="UOC126" s="223"/>
      <c r="UOD126" s="223"/>
      <c r="UOE126" s="223"/>
      <c r="UOF126" s="225"/>
      <c r="UOG126" s="220"/>
      <c r="UOH126" s="221"/>
      <c r="UOI126" s="222"/>
      <c r="UOJ126" s="222"/>
      <c r="UOK126" s="223"/>
      <c r="UOL126" s="223"/>
      <c r="UOM126" s="224"/>
      <c r="UON126" s="223"/>
      <c r="UOO126" s="223"/>
      <c r="UOP126" s="223"/>
      <c r="UOQ126" s="223"/>
      <c r="UOR126" s="225"/>
      <c r="UOS126" s="220"/>
      <c r="UOT126" s="221"/>
      <c r="UOU126" s="222"/>
      <c r="UOV126" s="222"/>
      <c r="UOW126" s="223"/>
      <c r="UOX126" s="223"/>
      <c r="UOY126" s="224"/>
      <c r="UOZ126" s="223"/>
      <c r="UPA126" s="223"/>
      <c r="UPB126" s="223"/>
      <c r="UPC126" s="223"/>
      <c r="UPD126" s="225"/>
      <c r="UPE126" s="220"/>
      <c r="UPF126" s="221"/>
      <c r="UPG126" s="222"/>
      <c r="UPH126" s="222"/>
      <c r="UPI126" s="223"/>
      <c r="UPJ126" s="223"/>
      <c r="UPK126" s="224"/>
      <c r="UPL126" s="223"/>
      <c r="UPM126" s="223"/>
      <c r="UPN126" s="223"/>
      <c r="UPO126" s="223"/>
      <c r="UPP126" s="225"/>
      <c r="UPQ126" s="220"/>
      <c r="UPR126" s="221"/>
      <c r="UPS126" s="222"/>
      <c r="UPT126" s="222"/>
      <c r="UPU126" s="223"/>
      <c r="UPV126" s="223"/>
      <c r="UPW126" s="224"/>
      <c r="UPX126" s="223"/>
      <c r="UPY126" s="223"/>
      <c r="UPZ126" s="223"/>
      <c r="UQA126" s="223"/>
      <c r="UQB126" s="225"/>
      <c r="UQC126" s="220"/>
      <c r="UQD126" s="221"/>
      <c r="UQE126" s="222"/>
      <c r="UQF126" s="222"/>
      <c r="UQG126" s="223"/>
      <c r="UQH126" s="223"/>
      <c r="UQI126" s="224"/>
      <c r="UQJ126" s="223"/>
      <c r="UQK126" s="223"/>
      <c r="UQL126" s="223"/>
      <c r="UQM126" s="223"/>
      <c r="UQN126" s="225"/>
      <c r="UQO126" s="220"/>
      <c r="UQP126" s="221"/>
      <c r="UQQ126" s="222"/>
      <c r="UQR126" s="222"/>
      <c r="UQS126" s="223"/>
      <c r="UQT126" s="223"/>
      <c r="UQU126" s="224"/>
      <c r="UQV126" s="223"/>
      <c r="UQW126" s="223"/>
      <c r="UQX126" s="223"/>
      <c r="UQY126" s="223"/>
      <c r="UQZ126" s="225"/>
      <c r="URA126" s="220"/>
      <c r="URB126" s="221"/>
      <c r="URC126" s="222"/>
      <c r="URD126" s="222"/>
      <c r="URE126" s="223"/>
      <c r="URF126" s="223"/>
      <c r="URG126" s="224"/>
      <c r="URH126" s="223"/>
      <c r="URI126" s="223"/>
      <c r="URJ126" s="223"/>
      <c r="URK126" s="223"/>
      <c r="URL126" s="225"/>
      <c r="URM126" s="220"/>
      <c r="URN126" s="221"/>
      <c r="URO126" s="222"/>
      <c r="URP126" s="222"/>
      <c r="URQ126" s="223"/>
      <c r="URR126" s="223"/>
      <c r="URS126" s="224"/>
      <c r="URT126" s="223"/>
      <c r="URU126" s="223"/>
      <c r="URV126" s="223"/>
      <c r="URW126" s="223"/>
      <c r="URX126" s="225"/>
      <c r="URY126" s="220"/>
      <c r="URZ126" s="221"/>
      <c r="USA126" s="222"/>
      <c r="USB126" s="222"/>
      <c r="USC126" s="223"/>
      <c r="USD126" s="223"/>
      <c r="USE126" s="224"/>
      <c r="USF126" s="223"/>
      <c r="USG126" s="223"/>
      <c r="USH126" s="223"/>
      <c r="USI126" s="223"/>
      <c r="USJ126" s="225"/>
      <c r="USK126" s="220"/>
      <c r="USL126" s="221"/>
      <c r="USM126" s="222"/>
      <c r="USN126" s="222"/>
      <c r="USO126" s="223"/>
      <c r="USP126" s="223"/>
      <c r="USQ126" s="224"/>
      <c r="USR126" s="223"/>
      <c r="USS126" s="223"/>
      <c r="UST126" s="223"/>
      <c r="USU126" s="223"/>
      <c r="USV126" s="225"/>
      <c r="USW126" s="220"/>
      <c r="USX126" s="221"/>
      <c r="USY126" s="222"/>
      <c r="USZ126" s="222"/>
      <c r="UTA126" s="223"/>
      <c r="UTB126" s="223"/>
      <c r="UTC126" s="224"/>
      <c r="UTD126" s="223"/>
      <c r="UTE126" s="223"/>
      <c r="UTF126" s="223"/>
      <c r="UTG126" s="223"/>
      <c r="UTH126" s="225"/>
      <c r="UTI126" s="220"/>
      <c r="UTJ126" s="221"/>
      <c r="UTK126" s="222"/>
      <c r="UTL126" s="222"/>
      <c r="UTM126" s="223"/>
      <c r="UTN126" s="223"/>
      <c r="UTO126" s="224"/>
      <c r="UTP126" s="223"/>
      <c r="UTQ126" s="223"/>
      <c r="UTR126" s="223"/>
      <c r="UTS126" s="223"/>
      <c r="UTT126" s="225"/>
      <c r="UTU126" s="220"/>
      <c r="UTV126" s="221"/>
      <c r="UTW126" s="222"/>
      <c r="UTX126" s="222"/>
      <c r="UTY126" s="223"/>
      <c r="UTZ126" s="223"/>
      <c r="UUA126" s="224"/>
      <c r="UUB126" s="223"/>
      <c r="UUC126" s="223"/>
      <c r="UUD126" s="223"/>
      <c r="UUE126" s="223"/>
      <c r="UUF126" s="225"/>
      <c r="UUG126" s="220"/>
      <c r="UUH126" s="221"/>
      <c r="UUI126" s="222"/>
      <c r="UUJ126" s="222"/>
      <c r="UUK126" s="223"/>
      <c r="UUL126" s="223"/>
      <c r="UUM126" s="224"/>
      <c r="UUN126" s="223"/>
      <c r="UUO126" s="223"/>
      <c r="UUP126" s="223"/>
      <c r="UUQ126" s="223"/>
      <c r="UUR126" s="225"/>
      <c r="UUS126" s="220"/>
      <c r="UUT126" s="221"/>
      <c r="UUU126" s="222"/>
      <c r="UUV126" s="222"/>
      <c r="UUW126" s="223"/>
      <c r="UUX126" s="223"/>
      <c r="UUY126" s="224"/>
      <c r="UUZ126" s="223"/>
      <c r="UVA126" s="223"/>
      <c r="UVB126" s="223"/>
      <c r="UVC126" s="223"/>
      <c r="UVD126" s="225"/>
      <c r="UVE126" s="220"/>
      <c r="UVF126" s="221"/>
      <c r="UVG126" s="222"/>
      <c r="UVH126" s="222"/>
      <c r="UVI126" s="223"/>
      <c r="UVJ126" s="223"/>
      <c r="UVK126" s="224"/>
      <c r="UVL126" s="223"/>
      <c r="UVM126" s="223"/>
      <c r="UVN126" s="223"/>
      <c r="UVO126" s="223"/>
      <c r="UVP126" s="225"/>
      <c r="UVQ126" s="220"/>
      <c r="UVR126" s="221"/>
      <c r="UVS126" s="222"/>
      <c r="UVT126" s="222"/>
      <c r="UVU126" s="223"/>
      <c r="UVV126" s="223"/>
      <c r="UVW126" s="224"/>
      <c r="UVX126" s="223"/>
      <c r="UVY126" s="223"/>
      <c r="UVZ126" s="223"/>
      <c r="UWA126" s="223"/>
      <c r="UWB126" s="225"/>
      <c r="UWC126" s="220"/>
      <c r="UWD126" s="221"/>
      <c r="UWE126" s="222"/>
      <c r="UWF126" s="222"/>
      <c r="UWG126" s="223"/>
      <c r="UWH126" s="223"/>
      <c r="UWI126" s="224"/>
      <c r="UWJ126" s="223"/>
      <c r="UWK126" s="223"/>
      <c r="UWL126" s="223"/>
      <c r="UWM126" s="223"/>
      <c r="UWN126" s="225"/>
      <c r="UWO126" s="220"/>
      <c r="UWP126" s="221"/>
      <c r="UWQ126" s="222"/>
      <c r="UWR126" s="222"/>
      <c r="UWS126" s="223"/>
      <c r="UWT126" s="223"/>
      <c r="UWU126" s="224"/>
      <c r="UWV126" s="223"/>
      <c r="UWW126" s="223"/>
      <c r="UWX126" s="223"/>
      <c r="UWY126" s="223"/>
      <c r="UWZ126" s="225"/>
      <c r="UXA126" s="220"/>
      <c r="UXB126" s="221"/>
      <c r="UXC126" s="222"/>
      <c r="UXD126" s="222"/>
      <c r="UXE126" s="223"/>
      <c r="UXF126" s="223"/>
      <c r="UXG126" s="224"/>
      <c r="UXH126" s="223"/>
      <c r="UXI126" s="223"/>
      <c r="UXJ126" s="223"/>
      <c r="UXK126" s="223"/>
      <c r="UXL126" s="225"/>
      <c r="UXM126" s="220"/>
      <c r="UXN126" s="221"/>
      <c r="UXO126" s="222"/>
      <c r="UXP126" s="222"/>
      <c r="UXQ126" s="223"/>
      <c r="UXR126" s="223"/>
      <c r="UXS126" s="224"/>
      <c r="UXT126" s="223"/>
      <c r="UXU126" s="223"/>
      <c r="UXV126" s="223"/>
      <c r="UXW126" s="223"/>
      <c r="UXX126" s="225"/>
      <c r="UXY126" s="220"/>
      <c r="UXZ126" s="221"/>
      <c r="UYA126" s="222"/>
      <c r="UYB126" s="222"/>
      <c r="UYC126" s="223"/>
      <c r="UYD126" s="223"/>
      <c r="UYE126" s="224"/>
      <c r="UYF126" s="223"/>
      <c r="UYG126" s="223"/>
      <c r="UYH126" s="223"/>
      <c r="UYI126" s="223"/>
      <c r="UYJ126" s="225"/>
      <c r="UYK126" s="220"/>
      <c r="UYL126" s="221"/>
      <c r="UYM126" s="222"/>
      <c r="UYN126" s="222"/>
      <c r="UYO126" s="223"/>
      <c r="UYP126" s="223"/>
      <c r="UYQ126" s="224"/>
      <c r="UYR126" s="223"/>
      <c r="UYS126" s="223"/>
      <c r="UYT126" s="223"/>
      <c r="UYU126" s="223"/>
      <c r="UYV126" s="225"/>
      <c r="UYW126" s="220"/>
      <c r="UYX126" s="221"/>
      <c r="UYY126" s="222"/>
      <c r="UYZ126" s="222"/>
      <c r="UZA126" s="223"/>
      <c r="UZB126" s="223"/>
      <c r="UZC126" s="224"/>
      <c r="UZD126" s="223"/>
      <c r="UZE126" s="223"/>
      <c r="UZF126" s="223"/>
      <c r="UZG126" s="223"/>
      <c r="UZH126" s="225"/>
      <c r="UZI126" s="220"/>
      <c r="UZJ126" s="221"/>
      <c r="UZK126" s="222"/>
      <c r="UZL126" s="222"/>
      <c r="UZM126" s="223"/>
      <c r="UZN126" s="223"/>
      <c r="UZO126" s="224"/>
      <c r="UZP126" s="223"/>
      <c r="UZQ126" s="223"/>
      <c r="UZR126" s="223"/>
      <c r="UZS126" s="223"/>
      <c r="UZT126" s="225"/>
      <c r="UZU126" s="220"/>
      <c r="UZV126" s="221"/>
      <c r="UZW126" s="222"/>
      <c r="UZX126" s="222"/>
      <c r="UZY126" s="223"/>
      <c r="UZZ126" s="223"/>
      <c r="VAA126" s="224"/>
      <c r="VAB126" s="223"/>
      <c r="VAC126" s="223"/>
      <c r="VAD126" s="223"/>
      <c r="VAE126" s="223"/>
      <c r="VAF126" s="225"/>
      <c r="VAG126" s="220"/>
      <c r="VAH126" s="221"/>
      <c r="VAI126" s="222"/>
      <c r="VAJ126" s="222"/>
      <c r="VAK126" s="223"/>
      <c r="VAL126" s="223"/>
      <c r="VAM126" s="224"/>
      <c r="VAN126" s="223"/>
      <c r="VAO126" s="223"/>
      <c r="VAP126" s="223"/>
      <c r="VAQ126" s="223"/>
      <c r="VAR126" s="225"/>
      <c r="VAS126" s="220"/>
      <c r="VAT126" s="221"/>
      <c r="VAU126" s="222"/>
      <c r="VAV126" s="222"/>
      <c r="VAW126" s="223"/>
      <c r="VAX126" s="223"/>
      <c r="VAY126" s="224"/>
      <c r="VAZ126" s="223"/>
      <c r="VBA126" s="223"/>
      <c r="VBB126" s="223"/>
      <c r="VBC126" s="223"/>
      <c r="VBD126" s="225"/>
      <c r="VBE126" s="220"/>
      <c r="VBF126" s="221"/>
      <c r="VBG126" s="222"/>
      <c r="VBH126" s="222"/>
      <c r="VBI126" s="223"/>
      <c r="VBJ126" s="223"/>
      <c r="VBK126" s="224"/>
      <c r="VBL126" s="223"/>
      <c r="VBM126" s="223"/>
      <c r="VBN126" s="223"/>
      <c r="VBO126" s="223"/>
      <c r="VBP126" s="225"/>
      <c r="VBQ126" s="220"/>
      <c r="VBR126" s="221"/>
      <c r="VBS126" s="222"/>
      <c r="VBT126" s="222"/>
      <c r="VBU126" s="223"/>
      <c r="VBV126" s="223"/>
      <c r="VBW126" s="224"/>
      <c r="VBX126" s="223"/>
      <c r="VBY126" s="223"/>
      <c r="VBZ126" s="223"/>
      <c r="VCA126" s="223"/>
      <c r="VCB126" s="225"/>
      <c r="VCC126" s="220"/>
      <c r="VCD126" s="221"/>
      <c r="VCE126" s="222"/>
      <c r="VCF126" s="222"/>
      <c r="VCG126" s="223"/>
      <c r="VCH126" s="223"/>
      <c r="VCI126" s="224"/>
      <c r="VCJ126" s="223"/>
      <c r="VCK126" s="223"/>
      <c r="VCL126" s="223"/>
      <c r="VCM126" s="223"/>
      <c r="VCN126" s="225"/>
      <c r="VCO126" s="220"/>
      <c r="VCP126" s="221"/>
      <c r="VCQ126" s="222"/>
      <c r="VCR126" s="222"/>
      <c r="VCS126" s="223"/>
      <c r="VCT126" s="223"/>
      <c r="VCU126" s="224"/>
      <c r="VCV126" s="223"/>
      <c r="VCW126" s="223"/>
      <c r="VCX126" s="223"/>
      <c r="VCY126" s="223"/>
      <c r="VCZ126" s="225"/>
      <c r="VDA126" s="220"/>
      <c r="VDB126" s="221"/>
      <c r="VDC126" s="222"/>
      <c r="VDD126" s="222"/>
      <c r="VDE126" s="223"/>
      <c r="VDF126" s="223"/>
      <c r="VDG126" s="224"/>
      <c r="VDH126" s="223"/>
      <c r="VDI126" s="223"/>
      <c r="VDJ126" s="223"/>
      <c r="VDK126" s="223"/>
      <c r="VDL126" s="225"/>
      <c r="VDM126" s="220"/>
      <c r="VDN126" s="221"/>
      <c r="VDO126" s="222"/>
      <c r="VDP126" s="222"/>
      <c r="VDQ126" s="223"/>
      <c r="VDR126" s="223"/>
      <c r="VDS126" s="224"/>
      <c r="VDT126" s="223"/>
      <c r="VDU126" s="223"/>
      <c r="VDV126" s="223"/>
      <c r="VDW126" s="223"/>
      <c r="VDX126" s="225"/>
      <c r="VDY126" s="220"/>
      <c r="VDZ126" s="221"/>
      <c r="VEA126" s="222"/>
      <c r="VEB126" s="222"/>
      <c r="VEC126" s="223"/>
      <c r="VED126" s="223"/>
      <c r="VEE126" s="224"/>
      <c r="VEF126" s="223"/>
      <c r="VEG126" s="223"/>
      <c r="VEH126" s="223"/>
      <c r="VEI126" s="223"/>
      <c r="VEJ126" s="225"/>
      <c r="VEK126" s="220"/>
      <c r="VEL126" s="221"/>
      <c r="VEM126" s="222"/>
      <c r="VEN126" s="222"/>
      <c r="VEO126" s="223"/>
      <c r="VEP126" s="223"/>
      <c r="VEQ126" s="224"/>
      <c r="VER126" s="223"/>
      <c r="VES126" s="223"/>
      <c r="VET126" s="223"/>
      <c r="VEU126" s="223"/>
      <c r="VEV126" s="225"/>
      <c r="VEW126" s="220"/>
      <c r="VEX126" s="221"/>
      <c r="VEY126" s="222"/>
      <c r="VEZ126" s="222"/>
      <c r="VFA126" s="223"/>
      <c r="VFB126" s="223"/>
      <c r="VFC126" s="224"/>
      <c r="VFD126" s="223"/>
      <c r="VFE126" s="223"/>
      <c r="VFF126" s="223"/>
      <c r="VFG126" s="223"/>
      <c r="VFH126" s="225"/>
      <c r="VFI126" s="220"/>
      <c r="VFJ126" s="221"/>
      <c r="VFK126" s="222"/>
      <c r="VFL126" s="222"/>
      <c r="VFM126" s="223"/>
      <c r="VFN126" s="223"/>
      <c r="VFO126" s="224"/>
      <c r="VFP126" s="223"/>
      <c r="VFQ126" s="223"/>
      <c r="VFR126" s="223"/>
      <c r="VFS126" s="223"/>
      <c r="VFT126" s="225"/>
      <c r="VFU126" s="220"/>
      <c r="VFV126" s="221"/>
      <c r="VFW126" s="222"/>
      <c r="VFX126" s="222"/>
      <c r="VFY126" s="223"/>
      <c r="VFZ126" s="223"/>
      <c r="VGA126" s="224"/>
      <c r="VGB126" s="223"/>
      <c r="VGC126" s="223"/>
      <c r="VGD126" s="223"/>
      <c r="VGE126" s="223"/>
      <c r="VGF126" s="225"/>
      <c r="VGG126" s="220"/>
      <c r="VGH126" s="221"/>
      <c r="VGI126" s="222"/>
      <c r="VGJ126" s="222"/>
      <c r="VGK126" s="223"/>
      <c r="VGL126" s="223"/>
      <c r="VGM126" s="224"/>
      <c r="VGN126" s="223"/>
      <c r="VGO126" s="223"/>
      <c r="VGP126" s="223"/>
      <c r="VGQ126" s="223"/>
      <c r="VGR126" s="225"/>
      <c r="VGS126" s="220"/>
      <c r="VGT126" s="221"/>
      <c r="VGU126" s="222"/>
      <c r="VGV126" s="222"/>
      <c r="VGW126" s="223"/>
      <c r="VGX126" s="223"/>
      <c r="VGY126" s="224"/>
      <c r="VGZ126" s="223"/>
      <c r="VHA126" s="223"/>
      <c r="VHB126" s="223"/>
      <c r="VHC126" s="223"/>
      <c r="VHD126" s="225"/>
      <c r="VHE126" s="220"/>
      <c r="VHF126" s="221"/>
      <c r="VHG126" s="222"/>
      <c r="VHH126" s="222"/>
      <c r="VHI126" s="223"/>
      <c r="VHJ126" s="223"/>
      <c r="VHK126" s="224"/>
      <c r="VHL126" s="223"/>
      <c r="VHM126" s="223"/>
      <c r="VHN126" s="223"/>
      <c r="VHO126" s="223"/>
      <c r="VHP126" s="225"/>
      <c r="VHQ126" s="220"/>
      <c r="VHR126" s="221"/>
      <c r="VHS126" s="222"/>
      <c r="VHT126" s="222"/>
      <c r="VHU126" s="223"/>
      <c r="VHV126" s="223"/>
      <c r="VHW126" s="224"/>
      <c r="VHX126" s="223"/>
      <c r="VHY126" s="223"/>
      <c r="VHZ126" s="223"/>
      <c r="VIA126" s="223"/>
      <c r="VIB126" s="225"/>
      <c r="VIC126" s="220"/>
      <c r="VID126" s="221"/>
      <c r="VIE126" s="222"/>
      <c r="VIF126" s="222"/>
      <c r="VIG126" s="223"/>
      <c r="VIH126" s="223"/>
      <c r="VII126" s="224"/>
      <c r="VIJ126" s="223"/>
      <c r="VIK126" s="223"/>
      <c r="VIL126" s="223"/>
      <c r="VIM126" s="223"/>
      <c r="VIN126" s="225"/>
      <c r="VIO126" s="220"/>
      <c r="VIP126" s="221"/>
      <c r="VIQ126" s="222"/>
      <c r="VIR126" s="222"/>
      <c r="VIS126" s="223"/>
      <c r="VIT126" s="223"/>
      <c r="VIU126" s="224"/>
      <c r="VIV126" s="223"/>
      <c r="VIW126" s="223"/>
      <c r="VIX126" s="223"/>
      <c r="VIY126" s="223"/>
      <c r="VIZ126" s="225"/>
      <c r="VJA126" s="220"/>
      <c r="VJB126" s="221"/>
      <c r="VJC126" s="222"/>
      <c r="VJD126" s="222"/>
      <c r="VJE126" s="223"/>
      <c r="VJF126" s="223"/>
      <c r="VJG126" s="224"/>
      <c r="VJH126" s="223"/>
      <c r="VJI126" s="223"/>
      <c r="VJJ126" s="223"/>
      <c r="VJK126" s="223"/>
      <c r="VJL126" s="225"/>
      <c r="VJM126" s="220"/>
      <c r="VJN126" s="221"/>
      <c r="VJO126" s="222"/>
      <c r="VJP126" s="222"/>
      <c r="VJQ126" s="223"/>
      <c r="VJR126" s="223"/>
      <c r="VJS126" s="224"/>
      <c r="VJT126" s="223"/>
      <c r="VJU126" s="223"/>
      <c r="VJV126" s="223"/>
      <c r="VJW126" s="223"/>
      <c r="VJX126" s="225"/>
      <c r="VJY126" s="220"/>
      <c r="VJZ126" s="221"/>
      <c r="VKA126" s="222"/>
      <c r="VKB126" s="222"/>
      <c r="VKC126" s="223"/>
      <c r="VKD126" s="223"/>
      <c r="VKE126" s="224"/>
      <c r="VKF126" s="223"/>
      <c r="VKG126" s="223"/>
      <c r="VKH126" s="223"/>
      <c r="VKI126" s="223"/>
      <c r="VKJ126" s="225"/>
      <c r="VKK126" s="220"/>
      <c r="VKL126" s="221"/>
      <c r="VKM126" s="222"/>
      <c r="VKN126" s="222"/>
      <c r="VKO126" s="223"/>
      <c r="VKP126" s="223"/>
      <c r="VKQ126" s="224"/>
      <c r="VKR126" s="223"/>
      <c r="VKS126" s="223"/>
      <c r="VKT126" s="223"/>
      <c r="VKU126" s="223"/>
      <c r="VKV126" s="225"/>
      <c r="VKW126" s="220"/>
      <c r="VKX126" s="221"/>
      <c r="VKY126" s="222"/>
      <c r="VKZ126" s="222"/>
      <c r="VLA126" s="223"/>
      <c r="VLB126" s="223"/>
      <c r="VLC126" s="224"/>
      <c r="VLD126" s="223"/>
      <c r="VLE126" s="223"/>
      <c r="VLF126" s="223"/>
      <c r="VLG126" s="223"/>
      <c r="VLH126" s="225"/>
      <c r="VLI126" s="220"/>
      <c r="VLJ126" s="221"/>
      <c r="VLK126" s="222"/>
      <c r="VLL126" s="222"/>
      <c r="VLM126" s="223"/>
      <c r="VLN126" s="223"/>
      <c r="VLO126" s="224"/>
      <c r="VLP126" s="223"/>
      <c r="VLQ126" s="223"/>
      <c r="VLR126" s="223"/>
      <c r="VLS126" s="223"/>
      <c r="VLT126" s="225"/>
      <c r="VLU126" s="220"/>
      <c r="VLV126" s="221"/>
      <c r="VLW126" s="222"/>
      <c r="VLX126" s="222"/>
      <c r="VLY126" s="223"/>
      <c r="VLZ126" s="223"/>
      <c r="VMA126" s="224"/>
      <c r="VMB126" s="223"/>
      <c r="VMC126" s="223"/>
      <c r="VMD126" s="223"/>
      <c r="VME126" s="223"/>
      <c r="VMF126" s="225"/>
      <c r="VMG126" s="220"/>
      <c r="VMH126" s="221"/>
      <c r="VMI126" s="222"/>
      <c r="VMJ126" s="222"/>
      <c r="VMK126" s="223"/>
      <c r="VML126" s="223"/>
      <c r="VMM126" s="224"/>
      <c r="VMN126" s="223"/>
      <c r="VMO126" s="223"/>
      <c r="VMP126" s="223"/>
      <c r="VMQ126" s="223"/>
      <c r="VMR126" s="225"/>
      <c r="VMS126" s="220"/>
      <c r="VMT126" s="221"/>
      <c r="VMU126" s="222"/>
      <c r="VMV126" s="222"/>
      <c r="VMW126" s="223"/>
      <c r="VMX126" s="223"/>
      <c r="VMY126" s="224"/>
      <c r="VMZ126" s="223"/>
      <c r="VNA126" s="223"/>
      <c r="VNB126" s="223"/>
      <c r="VNC126" s="223"/>
      <c r="VND126" s="225"/>
      <c r="VNE126" s="220"/>
      <c r="VNF126" s="221"/>
      <c r="VNG126" s="222"/>
      <c r="VNH126" s="222"/>
      <c r="VNI126" s="223"/>
      <c r="VNJ126" s="223"/>
      <c r="VNK126" s="224"/>
      <c r="VNL126" s="223"/>
      <c r="VNM126" s="223"/>
      <c r="VNN126" s="223"/>
      <c r="VNO126" s="223"/>
      <c r="VNP126" s="225"/>
      <c r="VNQ126" s="220"/>
      <c r="VNR126" s="221"/>
      <c r="VNS126" s="222"/>
      <c r="VNT126" s="222"/>
      <c r="VNU126" s="223"/>
      <c r="VNV126" s="223"/>
      <c r="VNW126" s="224"/>
      <c r="VNX126" s="223"/>
      <c r="VNY126" s="223"/>
      <c r="VNZ126" s="223"/>
      <c r="VOA126" s="223"/>
      <c r="VOB126" s="225"/>
      <c r="VOC126" s="220"/>
      <c r="VOD126" s="221"/>
      <c r="VOE126" s="222"/>
      <c r="VOF126" s="222"/>
      <c r="VOG126" s="223"/>
      <c r="VOH126" s="223"/>
      <c r="VOI126" s="224"/>
      <c r="VOJ126" s="223"/>
      <c r="VOK126" s="223"/>
      <c r="VOL126" s="223"/>
      <c r="VOM126" s="223"/>
      <c r="VON126" s="225"/>
      <c r="VOO126" s="220"/>
      <c r="VOP126" s="221"/>
      <c r="VOQ126" s="222"/>
      <c r="VOR126" s="222"/>
      <c r="VOS126" s="223"/>
      <c r="VOT126" s="223"/>
      <c r="VOU126" s="224"/>
      <c r="VOV126" s="223"/>
      <c r="VOW126" s="223"/>
      <c r="VOX126" s="223"/>
      <c r="VOY126" s="223"/>
      <c r="VOZ126" s="225"/>
      <c r="VPA126" s="220"/>
      <c r="VPB126" s="221"/>
      <c r="VPC126" s="222"/>
      <c r="VPD126" s="222"/>
      <c r="VPE126" s="223"/>
      <c r="VPF126" s="223"/>
      <c r="VPG126" s="224"/>
      <c r="VPH126" s="223"/>
      <c r="VPI126" s="223"/>
      <c r="VPJ126" s="223"/>
      <c r="VPK126" s="223"/>
      <c r="VPL126" s="225"/>
      <c r="VPM126" s="220"/>
      <c r="VPN126" s="221"/>
      <c r="VPO126" s="222"/>
      <c r="VPP126" s="222"/>
      <c r="VPQ126" s="223"/>
      <c r="VPR126" s="223"/>
      <c r="VPS126" s="224"/>
      <c r="VPT126" s="223"/>
      <c r="VPU126" s="223"/>
      <c r="VPV126" s="223"/>
      <c r="VPW126" s="223"/>
      <c r="VPX126" s="225"/>
      <c r="VPY126" s="220"/>
      <c r="VPZ126" s="221"/>
      <c r="VQA126" s="222"/>
      <c r="VQB126" s="222"/>
      <c r="VQC126" s="223"/>
      <c r="VQD126" s="223"/>
      <c r="VQE126" s="224"/>
      <c r="VQF126" s="223"/>
      <c r="VQG126" s="223"/>
      <c r="VQH126" s="223"/>
      <c r="VQI126" s="223"/>
      <c r="VQJ126" s="225"/>
      <c r="VQK126" s="220"/>
      <c r="VQL126" s="221"/>
      <c r="VQM126" s="222"/>
      <c r="VQN126" s="222"/>
      <c r="VQO126" s="223"/>
      <c r="VQP126" s="223"/>
      <c r="VQQ126" s="224"/>
      <c r="VQR126" s="223"/>
      <c r="VQS126" s="223"/>
      <c r="VQT126" s="223"/>
      <c r="VQU126" s="223"/>
      <c r="VQV126" s="225"/>
      <c r="VQW126" s="220"/>
      <c r="VQX126" s="221"/>
      <c r="VQY126" s="222"/>
      <c r="VQZ126" s="222"/>
      <c r="VRA126" s="223"/>
      <c r="VRB126" s="223"/>
      <c r="VRC126" s="224"/>
      <c r="VRD126" s="223"/>
      <c r="VRE126" s="223"/>
      <c r="VRF126" s="223"/>
      <c r="VRG126" s="223"/>
      <c r="VRH126" s="225"/>
      <c r="VRI126" s="220"/>
      <c r="VRJ126" s="221"/>
      <c r="VRK126" s="222"/>
      <c r="VRL126" s="222"/>
      <c r="VRM126" s="223"/>
      <c r="VRN126" s="223"/>
      <c r="VRO126" s="224"/>
      <c r="VRP126" s="223"/>
      <c r="VRQ126" s="223"/>
      <c r="VRR126" s="223"/>
      <c r="VRS126" s="223"/>
      <c r="VRT126" s="225"/>
      <c r="VRU126" s="220"/>
      <c r="VRV126" s="221"/>
      <c r="VRW126" s="222"/>
      <c r="VRX126" s="222"/>
      <c r="VRY126" s="223"/>
      <c r="VRZ126" s="223"/>
      <c r="VSA126" s="224"/>
      <c r="VSB126" s="223"/>
      <c r="VSC126" s="223"/>
      <c r="VSD126" s="223"/>
      <c r="VSE126" s="223"/>
      <c r="VSF126" s="225"/>
      <c r="VSG126" s="220"/>
      <c r="VSH126" s="221"/>
      <c r="VSI126" s="222"/>
      <c r="VSJ126" s="222"/>
      <c r="VSK126" s="223"/>
      <c r="VSL126" s="223"/>
      <c r="VSM126" s="224"/>
      <c r="VSN126" s="223"/>
      <c r="VSO126" s="223"/>
      <c r="VSP126" s="223"/>
      <c r="VSQ126" s="223"/>
      <c r="VSR126" s="225"/>
      <c r="VSS126" s="220"/>
      <c r="VST126" s="221"/>
      <c r="VSU126" s="222"/>
      <c r="VSV126" s="222"/>
      <c r="VSW126" s="223"/>
      <c r="VSX126" s="223"/>
      <c r="VSY126" s="224"/>
      <c r="VSZ126" s="223"/>
      <c r="VTA126" s="223"/>
      <c r="VTB126" s="223"/>
      <c r="VTC126" s="223"/>
      <c r="VTD126" s="225"/>
      <c r="VTE126" s="220"/>
      <c r="VTF126" s="221"/>
      <c r="VTG126" s="222"/>
      <c r="VTH126" s="222"/>
      <c r="VTI126" s="223"/>
      <c r="VTJ126" s="223"/>
      <c r="VTK126" s="224"/>
      <c r="VTL126" s="223"/>
      <c r="VTM126" s="223"/>
      <c r="VTN126" s="223"/>
      <c r="VTO126" s="223"/>
      <c r="VTP126" s="225"/>
      <c r="VTQ126" s="220"/>
      <c r="VTR126" s="221"/>
      <c r="VTS126" s="222"/>
      <c r="VTT126" s="222"/>
      <c r="VTU126" s="223"/>
      <c r="VTV126" s="223"/>
      <c r="VTW126" s="224"/>
      <c r="VTX126" s="223"/>
      <c r="VTY126" s="223"/>
      <c r="VTZ126" s="223"/>
      <c r="VUA126" s="223"/>
      <c r="VUB126" s="225"/>
      <c r="VUC126" s="220"/>
      <c r="VUD126" s="221"/>
      <c r="VUE126" s="222"/>
      <c r="VUF126" s="222"/>
      <c r="VUG126" s="223"/>
      <c r="VUH126" s="223"/>
      <c r="VUI126" s="224"/>
      <c r="VUJ126" s="223"/>
      <c r="VUK126" s="223"/>
      <c r="VUL126" s="223"/>
      <c r="VUM126" s="223"/>
      <c r="VUN126" s="225"/>
      <c r="VUO126" s="220"/>
      <c r="VUP126" s="221"/>
      <c r="VUQ126" s="222"/>
      <c r="VUR126" s="222"/>
      <c r="VUS126" s="223"/>
      <c r="VUT126" s="223"/>
      <c r="VUU126" s="224"/>
      <c r="VUV126" s="223"/>
      <c r="VUW126" s="223"/>
      <c r="VUX126" s="223"/>
      <c r="VUY126" s="223"/>
      <c r="VUZ126" s="225"/>
      <c r="VVA126" s="220"/>
      <c r="VVB126" s="221"/>
      <c r="VVC126" s="222"/>
      <c r="VVD126" s="222"/>
      <c r="VVE126" s="223"/>
      <c r="VVF126" s="223"/>
      <c r="VVG126" s="224"/>
      <c r="VVH126" s="223"/>
      <c r="VVI126" s="223"/>
      <c r="VVJ126" s="223"/>
      <c r="VVK126" s="223"/>
      <c r="VVL126" s="225"/>
      <c r="VVM126" s="220"/>
      <c r="VVN126" s="221"/>
      <c r="VVO126" s="222"/>
      <c r="VVP126" s="222"/>
      <c r="VVQ126" s="223"/>
      <c r="VVR126" s="223"/>
      <c r="VVS126" s="224"/>
      <c r="VVT126" s="223"/>
      <c r="VVU126" s="223"/>
      <c r="VVV126" s="223"/>
      <c r="VVW126" s="223"/>
      <c r="VVX126" s="225"/>
      <c r="VVY126" s="220"/>
      <c r="VVZ126" s="221"/>
      <c r="VWA126" s="222"/>
      <c r="VWB126" s="222"/>
      <c r="VWC126" s="223"/>
      <c r="VWD126" s="223"/>
      <c r="VWE126" s="224"/>
      <c r="VWF126" s="223"/>
      <c r="VWG126" s="223"/>
      <c r="VWH126" s="223"/>
      <c r="VWI126" s="223"/>
      <c r="VWJ126" s="225"/>
      <c r="VWK126" s="220"/>
      <c r="VWL126" s="221"/>
      <c r="VWM126" s="222"/>
      <c r="VWN126" s="222"/>
      <c r="VWO126" s="223"/>
      <c r="VWP126" s="223"/>
      <c r="VWQ126" s="224"/>
      <c r="VWR126" s="223"/>
      <c r="VWS126" s="223"/>
      <c r="VWT126" s="223"/>
      <c r="VWU126" s="223"/>
      <c r="VWV126" s="225"/>
      <c r="VWW126" s="220"/>
      <c r="VWX126" s="221"/>
      <c r="VWY126" s="222"/>
      <c r="VWZ126" s="222"/>
      <c r="VXA126" s="223"/>
      <c r="VXB126" s="223"/>
      <c r="VXC126" s="224"/>
      <c r="VXD126" s="223"/>
      <c r="VXE126" s="223"/>
      <c r="VXF126" s="223"/>
      <c r="VXG126" s="223"/>
      <c r="VXH126" s="225"/>
      <c r="VXI126" s="220"/>
      <c r="VXJ126" s="221"/>
      <c r="VXK126" s="222"/>
      <c r="VXL126" s="222"/>
      <c r="VXM126" s="223"/>
      <c r="VXN126" s="223"/>
      <c r="VXO126" s="224"/>
      <c r="VXP126" s="223"/>
      <c r="VXQ126" s="223"/>
      <c r="VXR126" s="223"/>
      <c r="VXS126" s="223"/>
      <c r="VXT126" s="225"/>
      <c r="VXU126" s="220"/>
      <c r="VXV126" s="221"/>
      <c r="VXW126" s="222"/>
      <c r="VXX126" s="222"/>
      <c r="VXY126" s="223"/>
      <c r="VXZ126" s="223"/>
      <c r="VYA126" s="224"/>
      <c r="VYB126" s="223"/>
      <c r="VYC126" s="223"/>
      <c r="VYD126" s="223"/>
      <c r="VYE126" s="223"/>
      <c r="VYF126" s="225"/>
      <c r="VYG126" s="220"/>
      <c r="VYH126" s="221"/>
      <c r="VYI126" s="222"/>
      <c r="VYJ126" s="222"/>
      <c r="VYK126" s="223"/>
      <c r="VYL126" s="223"/>
      <c r="VYM126" s="224"/>
      <c r="VYN126" s="223"/>
      <c r="VYO126" s="223"/>
      <c r="VYP126" s="223"/>
      <c r="VYQ126" s="223"/>
      <c r="VYR126" s="225"/>
      <c r="VYS126" s="220"/>
      <c r="VYT126" s="221"/>
      <c r="VYU126" s="222"/>
      <c r="VYV126" s="222"/>
      <c r="VYW126" s="223"/>
      <c r="VYX126" s="223"/>
      <c r="VYY126" s="224"/>
      <c r="VYZ126" s="223"/>
      <c r="VZA126" s="223"/>
      <c r="VZB126" s="223"/>
      <c r="VZC126" s="223"/>
      <c r="VZD126" s="225"/>
      <c r="VZE126" s="220"/>
      <c r="VZF126" s="221"/>
      <c r="VZG126" s="222"/>
      <c r="VZH126" s="222"/>
      <c r="VZI126" s="223"/>
      <c r="VZJ126" s="223"/>
      <c r="VZK126" s="224"/>
      <c r="VZL126" s="223"/>
      <c r="VZM126" s="223"/>
      <c r="VZN126" s="223"/>
      <c r="VZO126" s="223"/>
      <c r="VZP126" s="225"/>
      <c r="VZQ126" s="220"/>
      <c r="VZR126" s="221"/>
      <c r="VZS126" s="222"/>
      <c r="VZT126" s="222"/>
      <c r="VZU126" s="223"/>
      <c r="VZV126" s="223"/>
      <c r="VZW126" s="224"/>
      <c r="VZX126" s="223"/>
      <c r="VZY126" s="223"/>
      <c r="VZZ126" s="223"/>
      <c r="WAA126" s="223"/>
      <c r="WAB126" s="225"/>
      <c r="WAC126" s="220"/>
      <c r="WAD126" s="221"/>
      <c r="WAE126" s="222"/>
      <c r="WAF126" s="222"/>
      <c r="WAG126" s="223"/>
      <c r="WAH126" s="223"/>
      <c r="WAI126" s="224"/>
      <c r="WAJ126" s="223"/>
      <c r="WAK126" s="223"/>
      <c r="WAL126" s="223"/>
      <c r="WAM126" s="223"/>
      <c r="WAN126" s="225"/>
      <c r="WAO126" s="220"/>
      <c r="WAP126" s="221"/>
      <c r="WAQ126" s="222"/>
      <c r="WAR126" s="222"/>
      <c r="WAS126" s="223"/>
      <c r="WAT126" s="223"/>
      <c r="WAU126" s="224"/>
      <c r="WAV126" s="223"/>
      <c r="WAW126" s="223"/>
      <c r="WAX126" s="223"/>
      <c r="WAY126" s="223"/>
      <c r="WAZ126" s="225"/>
      <c r="WBA126" s="220"/>
      <c r="WBB126" s="221"/>
      <c r="WBC126" s="222"/>
      <c r="WBD126" s="222"/>
      <c r="WBE126" s="223"/>
      <c r="WBF126" s="223"/>
      <c r="WBG126" s="224"/>
      <c r="WBH126" s="223"/>
      <c r="WBI126" s="223"/>
      <c r="WBJ126" s="223"/>
      <c r="WBK126" s="223"/>
      <c r="WBL126" s="225"/>
      <c r="WBM126" s="220"/>
      <c r="WBN126" s="221"/>
      <c r="WBO126" s="222"/>
      <c r="WBP126" s="222"/>
      <c r="WBQ126" s="223"/>
      <c r="WBR126" s="223"/>
      <c r="WBS126" s="224"/>
      <c r="WBT126" s="223"/>
      <c r="WBU126" s="223"/>
      <c r="WBV126" s="223"/>
      <c r="WBW126" s="223"/>
      <c r="WBX126" s="225"/>
      <c r="WBY126" s="220"/>
      <c r="WBZ126" s="221"/>
      <c r="WCA126" s="222"/>
      <c r="WCB126" s="222"/>
      <c r="WCC126" s="223"/>
      <c r="WCD126" s="223"/>
      <c r="WCE126" s="224"/>
      <c r="WCF126" s="223"/>
      <c r="WCG126" s="223"/>
      <c r="WCH126" s="223"/>
      <c r="WCI126" s="223"/>
      <c r="WCJ126" s="225"/>
      <c r="WCK126" s="220"/>
      <c r="WCL126" s="221"/>
      <c r="WCM126" s="222"/>
      <c r="WCN126" s="222"/>
      <c r="WCO126" s="223"/>
      <c r="WCP126" s="223"/>
      <c r="WCQ126" s="224"/>
      <c r="WCR126" s="223"/>
      <c r="WCS126" s="223"/>
      <c r="WCT126" s="223"/>
      <c r="WCU126" s="223"/>
      <c r="WCV126" s="225"/>
      <c r="WCW126" s="220"/>
      <c r="WCX126" s="221"/>
      <c r="WCY126" s="222"/>
      <c r="WCZ126" s="222"/>
      <c r="WDA126" s="223"/>
      <c r="WDB126" s="223"/>
      <c r="WDC126" s="224"/>
      <c r="WDD126" s="223"/>
      <c r="WDE126" s="223"/>
      <c r="WDF126" s="223"/>
      <c r="WDG126" s="223"/>
      <c r="WDH126" s="225"/>
      <c r="WDI126" s="220"/>
      <c r="WDJ126" s="221"/>
      <c r="WDK126" s="222"/>
      <c r="WDL126" s="222"/>
      <c r="WDM126" s="223"/>
      <c r="WDN126" s="223"/>
      <c r="WDO126" s="224"/>
      <c r="WDP126" s="223"/>
      <c r="WDQ126" s="223"/>
      <c r="WDR126" s="223"/>
      <c r="WDS126" s="223"/>
      <c r="WDT126" s="225"/>
      <c r="WDU126" s="220"/>
      <c r="WDV126" s="221"/>
      <c r="WDW126" s="222"/>
      <c r="WDX126" s="222"/>
      <c r="WDY126" s="223"/>
      <c r="WDZ126" s="223"/>
      <c r="WEA126" s="224"/>
      <c r="WEB126" s="223"/>
      <c r="WEC126" s="223"/>
      <c r="WED126" s="223"/>
      <c r="WEE126" s="223"/>
      <c r="WEF126" s="225"/>
      <c r="WEG126" s="220"/>
      <c r="WEH126" s="221"/>
      <c r="WEI126" s="222"/>
      <c r="WEJ126" s="222"/>
      <c r="WEK126" s="223"/>
      <c r="WEL126" s="223"/>
      <c r="WEM126" s="224"/>
      <c r="WEN126" s="223"/>
      <c r="WEO126" s="223"/>
      <c r="WEP126" s="223"/>
      <c r="WEQ126" s="223"/>
      <c r="WER126" s="225"/>
      <c r="WES126" s="220"/>
      <c r="WET126" s="221"/>
      <c r="WEU126" s="222"/>
      <c r="WEV126" s="222"/>
      <c r="WEW126" s="223"/>
      <c r="WEX126" s="223"/>
      <c r="WEY126" s="224"/>
      <c r="WEZ126" s="223"/>
      <c r="WFA126" s="223"/>
      <c r="WFB126" s="223"/>
      <c r="WFC126" s="223"/>
      <c r="WFD126" s="225"/>
      <c r="WFE126" s="220"/>
      <c r="WFF126" s="221"/>
      <c r="WFG126" s="222"/>
      <c r="WFH126" s="222"/>
      <c r="WFI126" s="223"/>
      <c r="WFJ126" s="223"/>
      <c r="WFK126" s="224"/>
      <c r="WFL126" s="223"/>
      <c r="WFM126" s="223"/>
      <c r="WFN126" s="223"/>
      <c r="WFO126" s="223"/>
      <c r="WFP126" s="225"/>
      <c r="WFQ126" s="220"/>
      <c r="WFR126" s="221"/>
      <c r="WFS126" s="222"/>
      <c r="WFT126" s="222"/>
      <c r="WFU126" s="223"/>
      <c r="WFV126" s="223"/>
      <c r="WFW126" s="224"/>
      <c r="WFX126" s="223"/>
      <c r="WFY126" s="223"/>
      <c r="WFZ126" s="223"/>
      <c r="WGA126" s="223"/>
      <c r="WGB126" s="225"/>
      <c r="WGC126" s="220"/>
      <c r="WGD126" s="221"/>
      <c r="WGE126" s="222"/>
      <c r="WGF126" s="222"/>
      <c r="WGG126" s="223"/>
      <c r="WGH126" s="223"/>
      <c r="WGI126" s="224"/>
      <c r="WGJ126" s="223"/>
      <c r="WGK126" s="223"/>
      <c r="WGL126" s="223"/>
      <c r="WGM126" s="223"/>
      <c r="WGN126" s="225"/>
      <c r="WGO126" s="220"/>
      <c r="WGP126" s="221"/>
      <c r="WGQ126" s="222"/>
      <c r="WGR126" s="222"/>
      <c r="WGS126" s="223"/>
      <c r="WGT126" s="223"/>
      <c r="WGU126" s="224"/>
      <c r="WGV126" s="223"/>
      <c r="WGW126" s="223"/>
      <c r="WGX126" s="223"/>
      <c r="WGY126" s="223"/>
      <c r="WGZ126" s="225"/>
      <c r="WHA126" s="220"/>
      <c r="WHB126" s="221"/>
      <c r="WHC126" s="222"/>
      <c r="WHD126" s="222"/>
      <c r="WHE126" s="223"/>
      <c r="WHF126" s="223"/>
      <c r="WHG126" s="224"/>
      <c r="WHH126" s="223"/>
      <c r="WHI126" s="223"/>
      <c r="WHJ126" s="223"/>
      <c r="WHK126" s="223"/>
      <c r="WHL126" s="225"/>
      <c r="WHM126" s="220"/>
      <c r="WHN126" s="221"/>
      <c r="WHO126" s="222"/>
      <c r="WHP126" s="222"/>
      <c r="WHQ126" s="223"/>
      <c r="WHR126" s="223"/>
      <c r="WHS126" s="224"/>
      <c r="WHT126" s="223"/>
      <c r="WHU126" s="223"/>
      <c r="WHV126" s="223"/>
      <c r="WHW126" s="223"/>
      <c r="WHX126" s="225"/>
      <c r="WHY126" s="220"/>
      <c r="WHZ126" s="221"/>
      <c r="WIA126" s="222"/>
      <c r="WIB126" s="222"/>
      <c r="WIC126" s="223"/>
      <c r="WID126" s="223"/>
      <c r="WIE126" s="224"/>
      <c r="WIF126" s="223"/>
      <c r="WIG126" s="223"/>
      <c r="WIH126" s="223"/>
      <c r="WII126" s="223"/>
      <c r="WIJ126" s="225"/>
      <c r="WIK126" s="220"/>
      <c r="WIL126" s="221"/>
      <c r="WIM126" s="222"/>
      <c r="WIN126" s="222"/>
      <c r="WIO126" s="223"/>
      <c r="WIP126" s="223"/>
      <c r="WIQ126" s="224"/>
      <c r="WIR126" s="223"/>
      <c r="WIS126" s="223"/>
      <c r="WIT126" s="223"/>
      <c r="WIU126" s="223"/>
      <c r="WIV126" s="225"/>
      <c r="WIW126" s="220"/>
      <c r="WIX126" s="221"/>
      <c r="WIY126" s="222"/>
      <c r="WIZ126" s="222"/>
      <c r="WJA126" s="223"/>
      <c r="WJB126" s="223"/>
      <c r="WJC126" s="224"/>
      <c r="WJD126" s="223"/>
      <c r="WJE126" s="223"/>
      <c r="WJF126" s="223"/>
      <c r="WJG126" s="223"/>
      <c r="WJH126" s="225"/>
      <c r="WJI126" s="220"/>
      <c r="WJJ126" s="221"/>
      <c r="WJK126" s="222"/>
      <c r="WJL126" s="222"/>
      <c r="WJM126" s="223"/>
      <c r="WJN126" s="223"/>
      <c r="WJO126" s="224"/>
      <c r="WJP126" s="223"/>
      <c r="WJQ126" s="223"/>
      <c r="WJR126" s="223"/>
      <c r="WJS126" s="223"/>
      <c r="WJT126" s="225"/>
      <c r="WJU126" s="220"/>
      <c r="WJV126" s="221"/>
      <c r="WJW126" s="222"/>
      <c r="WJX126" s="222"/>
      <c r="WJY126" s="223"/>
      <c r="WJZ126" s="223"/>
      <c r="WKA126" s="224"/>
      <c r="WKB126" s="223"/>
      <c r="WKC126" s="223"/>
      <c r="WKD126" s="223"/>
      <c r="WKE126" s="223"/>
      <c r="WKF126" s="225"/>
      <c r="WKG126" s="220"/>
      <c r="WKH126" s="221"/>
      <c r="WKI126" s="222"/>
      <c r="WKJ126" s="222"/>
      <c r="WKK126" s="223"/>
      <c r="WKL126" s="223"/>
      <c r="WKM126" s="224"/>
      <c r="WKN126" s="223"/>
      <c r="WKO126" s="223"/>
      <c r="WKP126" s="223"/>
      <c r="WKQ126" s="223"/>
      <c r="WKR126" s="225"/>
      <c r="WKS126" s="220"/>
      <c r="WKT126" s="221"/>
      <c r="WKU126" s="222"/>
      <c r="WKV126" s="222"/>
      <c r="WKW126" s="223"/>
      <c r="WKX126" s="223"/>
      <c r="WKY126" s="224"/>
      <c r="WKZ126" s="223"/>
      <c r="WLA126" s="223"/>
      <c r="WLB126" s="223"/>
      <c r="WLC126" s="223"/>
      <c r="WLD126" s="225"/>
      <c r="WLE126" s="220"/>
      <c r="WLF126" s="221"/>
      <c r="WLG126" s="222"/>
      <c r="WLH126" s="222"/>
      <c r="WLI126" s="223"/>
      <c r="WLJ126" s="223"/>
      <c r="WLK126" s="224"/>
      <c r="WLL126" s="223"/>
      <c r="WLM126" s="223"/>
      <c r="WLN126" s="223"/>
      <c r="WLO126" s="223"/>
      <c r="WLP126" s="225"/>
      <c r="WLQ126" s="220"/>
      <c r="WLR126" s="221"/>
      <c r="WLS126" s="222"/>
      <c r="WLT126" s="222"/>
      <c r="WLU126" s="223"/>
      <c r="WLV126" s="223"/>
      <c r="WLW126" s="224"/>
      <c r="WLX126" s="223"/>
      <c r="WLY126" s="223"/>
      <c r="WLZ126" s="223"/>
      <c r="WMA126" s="223"/>
      <c r="WMB126" s="225"/>
      <c r="WMC126" s="220"/>
      <c r="WMD126" s="221"/>
      <c r="WME126" s="222"/>
      <c r="WMF126" s="222"/>
      <c r="WMG126" s="223"/>
      <c r="WMH126" s="223"/>
      <c r="WMI126" s="224"/>
      <c r="WMJ126" s="223"/>
      <c r="WMK126" s="223"/>
      <c r="WML126" s="223"/>
      <c r="WMM126" s="223"/>
      <c r="WMN126" s="225"/>
      <c r="WMO126" s="220"/>
      <c r="WMP126" s="221"/>
      <c r="WMQ126" s="222"/>
      <c r="WMR126" s="222"/>
      <c r="WMS126" s="223"/>
      <c r="WMT126" s="223"/>
      <c r="WMU126" s="224"/>
      <c r="WMV126" s="223"/>
      <c r="WMW126" s="223"/>
      <c r="WMX126" s="223"/>
      <c r="WMY126" s="223"/>
      <c r="WMZ126" s="225"/>
      <c r="WNA126" s="220"/>
      <c r="WNB126" s="221"/>
      <c r="WNC126" s="222"/>
      <c r="WND126" s="222"/>
      <c r="WNE126" s="223"/>
      <c r="WNF126" s="223"/>
      <c r="WNG126" s="224"/>
      <c r="WNH126" s="223"/>
      <c r="WNI126" s="223"/>
      <c r="WNJ126" s="223"/>
      <c r="WNK126" s="223"/>
      <c r="WNL126" s="225"/>
      <c r="WNM126" s="220"/>
      <c r="WNN126" s="221"/>
      <c r="WNO126" s="222"/>
      <c r="WNP126" s="222"/>
      <c r="WNQ126" s="223"/>
      <c r="WNR126" s="223"/>
      <c r="WNS126" s="224"/>
      <c r="WNT126" s="223"/>
      <c r="WNU126" s="223"/>
      <c r="WNV126" s="223"/>
      <c r="WNW126" s="223"/>
      <c r="WNX126" s="225"/>
      <c r="WNY126" s="220"/>
      <c r="WNZ126" s="221"/>
      <c r="WOA126" s="222"/>
      <c r="WOB126" s="222"/>
      <c r="WOC126" s="223"/>
      <c r="WOD126" s="223"/>
      <c r="WOE126" s="224"/>
      <c r="WOF126" s="223"/>
      <c r="WOG126" s="223"/>
      <c r="WOH126" s="223"/>
      <c r="WOI126" s="223"/>
      <c r="WOJ126" s="225"/>
      <c r="WOK126" s="220"/>
      <c r="WOL126" s="221"/>
      <c r="WOM126" s="222"/>
      <c r="WON126" s="222"/>
      <c r="WOO126" s="223"/>
      <c r="WOP126" s="223"/>
      <c r="WOQ126" s="224"/>
      <c r="WOR126" s="223"/>
      <c r="WOS126" s="223"/>
      <c r="WOT126" s="223"/>
      <c r="WOU126" s="223"/>
      <c r="WOV126" s="225"/>
      <c r="WOW126" s="220"/>
      <c r="WOX126" s="221"/>
      <c r="WOY126" s="222"/>
      <c r="WOZ126" s="222"/>
      <c r="WPA126" s="223"/>
      <c r="WPB126" s="223"/>
      <c r="WPC126" s="224"/>
      <c r="WPD126" s="223"/>
      <c r="WPE126" s="223"/>
      <c r="WPF126" s="223"/>
      <c r="WPG126" s="223"/>
      <c r="WPH126" s="225"/>
      <c r="WPI126" s="220"/>
      <c r="WPJ126" s="221"/>
      <c r="WPK126" s="222"/>
      <c r="WPL126" s="222"/>
      <c r="WPM126" s="223"/>
      <c r="WPN126" s="223"/>
      <c r="WPO126" s="224"/>
      <c r="WPP126" s="223"/>
      <c r="WPQ126" s="223"/>
      <c r="WPR126" s="223"/>
      <c r="WPS126" s="223"/>
      <c r="WPT126" s="225"/>
      <c r="WPU126" s="220"/>
      <c r="WPV126" s="221"/>
      <c r="WPW126" s="222"/>
      <c r="WPX126" s="222"/>
      <c r="WPY126" s="223"/>
      <c r="WPZ126" s="223"/>
      <c r="WQA126" s="224"/>
      <c r="WQB126" s="223"/>
      <c r="WQC126" s="223"/>
      <c r="WQD126" s="223"/>
      <c r="WQE126" s="223"/>
      <c r="WQF126" s="225"/>
      <c r="WQG126" s="220"/>
      <c r="WQH126" s="221"/>
      <c r="WQI126" s="222"/>
      <c r="WQJ126" s="222"/>
      <c r="WQK126" s="223"/>
      <c r="WQL126" s="223"/>
      <c r="WQM126" s="224"/>
      <c r="WQN126" s="223"/>
      <c r="WQO126" s="223"/>
      <c r="WQP126" s="223"/>
      <c r="WQQ126" s="223"/>
      <c r="WQR126" s="225"/>
      <c r="WQS126" s="220"/>
      <c r="WQT126" s="221"/>
      <c r="WQU126" s="222"/>
      <c r="WQV126" s="222"/>
      <c r="WQW126" s="223"/>
      <c r="WQX126" s="223"/>
      <c r="WQY126" s="224"/>
      <c r="WQZ126" s="223"/>
      <c r="WRA126" s="223"/>
      <c r="WRB126" s="223"/>
      <c r="WRC126" s="223"/>
      <c r="WRD126" s="225"/>
      <c r="WRE126" s="220"/>
      <c r="WRF126" s="221"/>
      <c r="WRG126" s="222"/>
      <c r="WRH126" s="222"/>
      <c r="WRI126" s="223"/>
      <c r="WRJ126" s="223"/>
      <c r="WRK126" s="224"/>
      <c r="WRL126" s="223"/>
      <c r="WRM126" s="223"/>
      <c r="WRN126" s="223"/>
      <c r="WRO126" s="223"/>
      <c r="WRP126" s="225"/>
      <c r="WRQ126" s="220"/>
      <c r="WRR126" s="221"/>
      <c r="WRS126" s="222"/>
      <c r="WRT126" s="222"/>
      <c r="WRU126" s="223"/>
      <c r="WRV126" s="223"/>
      <c r="WRW126" s="224"/>
      <c r="WRX126" s="223"/>
      <c r="WRY126" s="223"/>
      <c r="WRZ126" s="223"/>
      <c r="WSA126" s="223"/>
      <c r="WSB126" s="225"/>
      <c r="WSC126" s="220"/>
      <c r="WSD126" s="221"/>
      <c r="WSE126" s="222"/>
      <c r="WSF126" s="222"/>
      <c r="WSG126" s="223"/>
      <c r="WSH126" s="223"/>
      <c r="WSI126" s="224"/>
      <c r="WSJ126" s="223"/>
      <c r="WSK126" s="223"/>
      <c r="WSL126" s="223"/>
      <c r="WSM126" s="223"/>
      <c r="WSN126" s="225"/>
      <c r="WSO126" s="220"/>
      <c r="WSP126" s="221"/>
      <c r="WSQ126" s="222"/>
      <c r="WSR126" s="222"/>
      <c r="WSS126" s="223"/>
      <c r="WST126" s="223"/>
      <c r="WSU126" s="224"/>
      <c r="WSV126" s="223"/>
      <c r="WSW126" s="223"/>
      <c r="WSX126" s="223"/>
      <c r="WSY126" s="223"/>
      <c r="WSZ126" s="225"/>
      <c r="WTA126" s="220"/>
      <c r="WTB126" s="221"/>
      <c r="WTC126" s="222"/>
      <c r="WTD126" s="222"/>
      <c r="WTE126" s="223"/>
      <c r="WTF126" s="223"/>
      <c r="WTG126" s="224"/>
      <c r="WTH126" s="223"/>
      <c r="WTI126" s="223"/>
      <c r="WTJ126" s="223"/>
      <c r="WTK126" s="223"/>
      <c r="WTL126" s="225"/>
      <c r="WTM126" s="220"/>
      <c r="WTN126" s="221"/>
      <c r="WTO126" s="222"/>
      <c r="WTP126" s="222"/>
      <c r="WTQ126" s="223"/>
      <c r="WTR126" s="223"/>
      <c r="WTS126" s="224"/>
      <c r="WTT126" s="223"/>
      <c r="WTU126" s="223"/>
      <c r="WTV126" s="223"/>
      <c r="WTW126" s="223"/>
      <c r="WTX126" s="225"/>
      <c r="WTY126" s="220"/>
      <c r="WTZ126" s="221"/>
      <c r="WUA126" s="222"/>
      <c r="WUB126" s="222"/>
      <c r="WUC126" s="223"/>
      <c r="WUD126" s="223"/>
      <c r="WUE126" s="224"/>
      <c r="WUF126" s="223"/>
      <c r="WUG126" s="223"/>
      <c r="WUH126" s="223"/>
      <c r="WUI126" s="223"/>
      <c r="WUJ126" s="225"/>
      <c r="WUK126" s="220"/>
      <c r="WUL126" s="221"/>
      <c r="WUM126" s="222"/>
      <c r="WUN126" s="222"/>
      <c r="WUO126" s="223"/>
      <c r="WUP126" s="223"/>
      <c r="WUQ126" s="224"/>
      <c r="WUR126" s="223"/>
      <c r="WUS126" s="223"/>
      <c r="WUT126" s="223"/>
      <c r="WUU126" s="223"/>
      <c r="WUV126" s="225"/>
      <c r="WUW126" s="220"/>
      <c r="WUX126" s="221"/>
      <c r="WUY126" s="222"/>
      <c r="WUZ126" s="222"/>
      <c r="WVA126" s="223"/>
      <c r="WVB126" s="223"/>
      <c r="WVC126" s="224"/>
      <c r="WVD126" s="223"/>
      <c r="WVE126" s="223"/>
      <c r="WVF126" s="223"/>
      <c r="WVG126" s="223"/>
      <c r="WVH126" s="225"/>
      <c r="WVI126" s="220"/>
      <c r="WVJ126" s="221"/>
      <c r="WVK126" s="222"/>
      <c r="WVL126" s="222"/>
      <c r="WVM126" s="223"/>
      <c r="WVN126" s="223"/>
      <c r="WVO126" s="224"/>
      <c r="WVP126" s="223"/>
      <c r="WVQ126" s="223"/>
      <c r="WVR126" s="223"/>
      <c r="WVS126" s="223"/>
      <c r="WVT126" s="225"/>
      <c r="WVU126" s="220"/>
      <c r="WVV126" s="221"/>
      <c r="WVW126" s="222"/>
      <c r="WVX126" s="222"/>
      <c r="WVY126" s="223"/>
      <c r="WVZ126" s="223"/>
      <c r="WWA126" s="224"/>
      <c r="WWB126" s="223"/>
      <c r="WWC126" s="223"/>
      <c r="WWD126" s="223"/>
      <c r="WWE126" s="223"/>
      <c r="WWF126" s="225"/>
      <c r="WWG126" s="220"/>
      <c r="WWH126" s="221"/>
      <c r="WWI126" s="222"/>
      <c r="WWJ126" s="222"/>
      <c r="WWK126" s="223"/>
      <c r="WWL126" s="223"/>
      <c r="WWM126" s="224"/>
      <c r="WWN126" s="223"/>
      <c r="WWO126" s="223"/>
      <c r="WWP126" s="223"/>
      <c r="WWQ126" s="223"/>
      <c r="WWR126" s="225"/>
      <c r="WWS126" s="220"/>
      <c r="WWT126" s="221"/>
      <c r="WWU126" s="222"/>
      <c r="WWV126" s="222"/>
      <c r="WWW126" s="223"/>
      <c r="WWX126" s="223"/>
      <c r="WWY126" s="224"/>
      <c r="WWZ126" s="223"/>
      <c r="WXA126" s="223"/>
      <c r="WXB126" s="223"/>
      <c r="WXC126" s="223"/>
      <c r="WXD126" s="225"/>
      <c r="WXE126" s="220"/>
      <c r="WXF126" s="221"/>
      <c r="WXG126" s="222"/>
      <c r="WXH126" s="222"/>
      <c r="WXI126" s="223"/>
      <c r="WXJ126" s="223"/>
      <c r="WXK126" s="224"/>
      <c r="WXL126" s="223"/>
      <c r="WXM126" s="223"/>
      <c r="WXN126" s="223"/>
      <c r="WXO126" s="223"/>
      <c r="WXP126" s="225"/>
      <c r="WXQ126" s="220"/>
      <c r="WXR126" s="221"/>
      <c r="WXS126" s="222"/>
      <c r="WXT126" s="222"/>
      <c r="WXU126" s="223"/>
      <c r="WXV126" s="223"/>
      <c r="WXW126" s="224"/>
      <c r="WXX126" s="223"/>
      <c r="WXY126" s="223"/>
      <c r="WXZ126" s="223"/>
      <c r="WYA126" s="223"/>
      <c r="WYB126" s="225"/>
      <c r="WYC126" s="220"/>
      <c r="WYD126" s="221"/>
      <c r="WYE126" s="222"/>
      <c r="WYF126" s="222"/>
      <c r="WYG126" s="223"/>
      <c r="WYH126" s="223"/>
      <c r="WYI126" s="224"/>
      <c r="WYJ126" s="223"/>
      <c r="WYK126" s="223"/>
      <c r="WYL126" s="223"/>
      <c r="WYM126" s="223"/>
      <c r="WYN126" s="225"/>
      <c r="WYO126" s="220"/>
      <c r="WYP126" s="221"/>
      <c r="WYQ126" s="222"/>
      <c r="WYR126" s="222"/>
      <c r="WYS126" s="223"/>
      <c r="WYT126" s="223"/>
      <c r="WYU126" s="224"/>
      <c r="WYV126" s="223"/>
      <c r="WYW126" s="223"/>
      <c r="WYX126" s="223"/>
      <c r="WYY126" s="223"/>
      <c r="WYZ126" s="225"/>
      <c r="WZA126" s="220"/>
      <c r="WZB126" s="221"/>
      <c r="WZC126" s="222"/>
      <c r="WZD126" s="222"/>
      <c r="WZE126" s="223"/>
      <c r="WZF126" s="223"/>
      <c r="WZG126" s="224"/>
      <c r="WZH126" s="223"/>
      <c r="WZI126" s="223"/>
      <c r="WZJ126" s="223"/>
      <c r="WZK126" s="223"/>
      <c r="WZL126" s="225"/>
      <c r="WZM126" s="220"/>
      <c r="WZN126" s="221"/>
      <c r="WZO126" s="222"/>
      <c r="WZP126" s="222"/>
      <c r="WZQ126" s="223"/>
      <c r="WZR126" s="223"/>
      <c r="WZS126" s="224"/>
      <c r="WZT126" s="223"/>
      <c r="WZU126" s="223"/>
      <c r="WZV126" s="223"/>
      <c r="WZW126" s="223"/>
      <c r="WZX126" s="225"/>
      <c r="WZY126" s="220"/>
      <c r="WZZ126" s="221"/>
      <c r="XAA126" s="222"/>
      <c r="XAB126" s="222"/>
      <c r="XAC126" s="223"/>
      <c r="XAD126" s="223"/>
      <c r="XAE126" s="224"/>
      <c r="XAF126" s="223"/>
      <c r="XAG126" s="223"/>
      <c r="XAH126" s="223"/>
      <c r="XAI126" s="223"/>
      <c r="XAJ126" s="225"/>
      <c r="XAK126" s="220"/>
      <c r="XAL126" s="221"/>
      <c r="XAM126" s="222"/>
      <c r="XAN126" s="222"/>
      <c r="XAO126" s="223"/>
      <c r="XAP126" s="223"/>
      <c r="XAQ126" s="224"/>
      <c r="XAR126" s="223"/>
      <c r="XAS126" s="223"/>
      <c r="XAT126" s="223"/>
      <c r="XAU126" s="223"/>
      <c r="XAV126" s="225"/>
      <c r="XAW126" s="220"/>
      <c r="XAX126" s="221"/>
      <c r="XAY126" s="222"/>
      <c r="XAZ126" s="222"/>
      <c r="XBA126" s="223"/>
      <c r="XBB126" s="223"/>
      <c r="XBC126" s="224"/>
      <c r="XBD126" s="223"/>
      <c r="XBE126" s="223"/>
      <c r="XBF126" s="223"/>
      <c r="XBG126" s="223"/>
      <c r="XBH126" s="225"/>
      <c r="XBI126" s="220"/>
      <c r="XBJ126" s="221"/>
      <c r="XBK126" s="222"/>
      <c r="XBL126" s="222"/>
      <c r="XBM126" s="223"/>
      <c r="XBN126" s="223"/>
      <c r="XBO126" s="224"/>
      <c r="XBP126" s="223"/>
      <c r="XBQ126" s="223"/>
      <c r="XBR126" s="223"/>
      <c r="XBS126" s="223"/>
      <c r="XBT126" s="225"/>
      <c r="XBU126" s="220"/>
      <c r="XBV126" s="221"/>
      <c r="XBW126" s="222"/>
      <c r="XBX126" s="222"/>
      <c r="XBY126" s="223"/>
      <c r="XBZ126" s="223"/>
      <c r="XCA126" s="224"/>
      <c r="XCB126" s="223"/>
      <c r="XCC126" s="223"/>
      <c r="XCD126" s="223"/>
      <c r="XCE126" s="223"/>
      <c r="XCF126" s="225"/>
      <c r="XCG126" s="220"/>
      <c r="XCH126" s="221"/>
      <c r="XCI126" s="222"/>
      <c r="XCJ126" s="222"/>
      <c r="XCK126" s="223"/>
      <c r="XCL126" s="223"/>
      <c r="XCM126" s="224"/>
      <c r="XCN126" s="223"/>
      <c r="XCO126" s="223"/>
      <c r="XCP126" s="223"/>
      <c r="XCQ126" s="223"/>
      <c r="XCR126" s="225"/>
      <c r="XCS126" s="220"/>
      <c r="XCT126" s="221"/>
      <c r="XCU126" s="222"/>
      <c r="XCV126" s="222"/>
      <c r="XCW126" s="223"/>
      <c r="XCX126" s="223"/>
      <c r="XCY126" s="224"/>
      <c r="XCZ126" s="223"/>
      <c r="XDA126" s="223"/>
      <c r="XDB126" s="223"/>
      <c r="XDC126" s="223"/>
      <c r="XDD126" s="225"/>
      <c r="XDE126" s="220"/>
      <c r="XDF126" s="221"/>
      <c r="XDG126" s="222"/>
      <c r="XDH126" s="222"/>
      <c r="XDI126" s="223"/>
      <c r="XDJ126" s="223"/>
      <c r="XDK126" s="224"/>
      <c r="XDL126" s="223"/>
      <c r="XDM126" s="223"/>
      <c r="XDN126" s="223"/>
      <c r="XDO126" s="223"/>
      <c r="XDP126" s="225"/>
      <c r="XDQ126" s="220"/>
      <c r="XDR126" s="221"/>
      <c r="XDS126" s="222"/>
      <c r="XDT126" s="222"/>
      <c r="XDU126" s="223"/>
      <c r="XDV126" s="223"/>
      <c r="XDW126" s="224"/>
      <c r="XDX126" s="223"/>
      <c r="XDY126" s="223"/>
      <c r="XDZ126" s="223"/>
      <c r="XEA126" s="223"/>
      <c r="XEB126" s="225"/>
      <c r="XEC126" s="220"/>
      <c r="XED126" s="221"/>
      <c r="XEE126" s="222"/>
      <c r="XEF126" s="222"/>
      <c r="XEG126" s="223"/>
      <c r="XEH126" s="223"/>
      <c r="XEI126" s="224"/>
      <c r="XEJ126" s="223"/>
      <c r="XEK126" s="223"/>
      <c r="XEL126" s="223"/>
      <c r="XEM126" s="223"/>
      <c r="XEN126" s="225"/>
      <c r="XEO126" s="220"/>
      <c r="XEP126" s="221"/>
      <c r="XEQ126" s="222"/>
      <c r="XER126" s="222"/>
      <c r="XES126" s="223"/>
      <c r="XET126" s="223"/>
      <c r="XEU126" s="224"/>
      <c r="XEV126" s="223"/>
      <c r="XEW126" s="223"/>
      <c r="XEX126" s="223"/>
      <c r="XEY126" s="223"/>
      <c r="XEZ126" s="225"/>
      <c r="XFA126" s="220"/>
      <c r="XFB126" s="221"/>
      <c r="XFC126" s="222"/>
      <c r="XFD126" s="222"/>
    </row>
    <row r="127" spans="1:16384" s="158" customFormat="1" ht="27.75" customHeight="1" x14ac:dyDescent="0.3">
      <c r="A127" s="194">
        <v>7</v>
      </c>
      <c r="B127" s="137" t="s">
        <v>336</v>
      </c>
      <c r="C127" s="134" t="s">
        <v>33</v>
      </c>
      <c r="D127" s="75"/>
      <c r="E127" s="76">
        <v>4.9000000000000004</v>
      </c>
      <c r="F127" s="435"/>
      <c r="G127" s="76"/>
      <c r="H127" s="76"/>
      <c r="I127" s="76"/>
      <c r="J127" s="76"/>
      <c r="K127" s="76"/>
      <c r="L127" s="77"/>
    </row>
    <row r="128" spans="1:16384" s="158" customFormat="1" ht="13.8" x14ac:dyDescent="0.3">
      <c r="A128" s="78"/>
      <c r="B128" s="24" t="s">
        <v>8</v>
      </c>
      <c r="C128" s="79" t="s">
        <v>33</v>
      </c>
      <c r="D128" s="79">
        <v>1</v>
      </c>
      <c r="E128" s="58"/>
      <c r="F128" s="271"/>
      <c r="G128" s="56"/>
      <c r="H128" s="58"/>
      <c r="I128" s="58"/>
      <c r="J128" s="58"/>
      <c r="K128" s="58"/>
      <c r="L128" s="57"/>
    </row>
    <row r="129" spans="1:13" s="158" customFormat="1" ht="13.8" x14ac:dyDescent="0.3">
      <c r="A129" s="78"/>
      <c r="B129" s="24" t="s">
        <v>10</v>
      </c>
      <c r="C129" s="79" t="s">
        <v>15</v>
      </c>
      <c r="D129" s="79">
        <v>0.03</v>
      </c>
      <c r="E129" s="58"/>
      <c r="F129" s="271"/>
      <c r="G129" s="56"/>
      <c r="H129" s="58"/>
      <c r="I129" s="58"/>
      <c r="J129" s="58"/>
      <c r="K129" s="58"/>
      <c r="L129" s="57"/>
    </row>
    <row r="130" spans="1:13" s="158" customFormat="1" ht="13.8" x14ac:dyDescent="0.3">
      <c r="A130" s="78"/>
      <c r="B130" s="24" t="s">
        <v>12</v>
      </c>
      <c r="C130" s="79"/>
      <c r="D130" s="79"/>
      <c r="E130" s="58"/>
      <c r="F130" s="271"/>
      <c r="G130" s="56"/>
      <c r="H130" s="58"/>
      <c r="I130" s="58"/>
      <c r="J130" s="58"/>
      <c r="K130" s="58"/>
      <c r="L130" s="57"/>
    </row>
    <row r="131" spans="1:13" s="158" customFormat="1" ht="15" x14ac:dyDescent="0.3">
      <c r="A131" s="78"/>
      <c r="B131" s="24" t="s">
        <v>401</v>
      </c>
      <c r="C131" s="79" t="s">
        <v>33</v>
      </c>
      <c r="D131" s="79">
        <v>1.05</v>
      </c>
      <c r="E131" s="58"/>
      <c r="F131" s="271"/>
      <c r="G131" s="56"/>
      <c r="H131" s="58"/>
      <c r="I131" s="58"/>
      <c r="J131" s="58"/>
      <c r="K131" s="58"/>
      <c r="L131" s="57"/>
    </row>
    <row r="132" spans="1:13" s="158" customFormat="1" thickBot="1" x14ac:dyDescent="0.35">
      <c r="A132" s="198"/>
      <c r="B132" s="98" t="s">
        <v>14</v>
      </c>
      <c r="C132" s="141" t="s">
        <v>15</v>
      </c>
      <c r="D132" s="79">
        <v>3.0000000000000001E-3</v>
      </c>
      <c r="E132" s="56"/>
      <c r="F132" s="297"/>
      <c r="G132" s="56"/>
      <c r="H132" s="56"/>
      <c r="I132" s="56"/>
      <c r="J132" s="56"/>
      <c r="K132" s="56"/>
      <c r="L132" s="57"/>
    </row>
    <row r="133" spans="1:13" s="69" customFormat="1" ht="30.75" customHeight="1" x14ac:dyDescent="0.3">
      <c r="A133" s="136">
        <v>8</v>
      </c>
      <c r="B133" s="137" t="s">
        <v>341</v>
      </c>
      <c r="C133" s="134" t="s">
        <v>33</v>
      </c>
      <c r="D133" s="134"/>
      <c r="E133" s="138">
        <f>E127</f>
        <v>4.9000000000000004</v>
      </c>
      <c r="F133" s="312"/>
      <c r="G133" s="138"/>
      <c r="H133" s="138"/>
      <c r="I133" s="138"/>
      <c r="J133" s="138"/>
      <c r="K133" s="138"/>
      <c r="L133" s="139"/>
    </row>
    <row r="134" spans="1:13" s="69" customFormat="1" ht="13.95" customHeight="1" x14ac:dyDescent="0.3">
      <c r="A134" s="80"/>
      <c r="B134" s="24" t="s">
        <v>8</v>
      </c>
      <c r="C134" s="79" t="s">
        <v>33</v>
      </c>
      <c r="D134" s="79">
        <v>1</v>
      </c>
      <c r="E134" s="58"/>
      <c r="F134" s="271"/>
      <c r="G134" s="58"/>
      <c r="H134" s="58"/>
      <c r="I134" s="58"/>
      <c r="J134" s="58"/>
      <c r="K134" s="58"/>
      <c r="L134" s="57"/>
    </row>
    <row r="135" spans="1:13" s="69" customFormat="1" ht="13.95" customHeight="1" x14ac:dyDescent="0.3">
      <c r="A135" s="80"/>
      <c r="B135" s="24" t="s">
        <v>10</v>
      </c>
      <c r="C135" s="79" t="s">
        <v>15</v>
      </c>
      <c r="D135" s="79">
        <v>1.7000000000000001E-2</v>
      </c>
      <c r="E135" s="58"/>
      <c r="F135" s="271"/>
      <c r="G135" s="58"/>
      <c r="H135" s="58"/>
      <c r="I135" s="58"/>
      <c r="J135" s="58"/>
      <c r="K135" s="58"/>
      <c r="L135" s="57"/>
    </row>
    <row r="136" spans="1:13" s="69" customFormat="1" ht="13.95" customHeight="1" x14ac:dyDescent="0.3">
      <c r="A136" s="80"/>
      <c r="B136" s="24" t="s">
        <v>12</v>
      </c>
      <c r="C136" s="79"/>
      <c r="D136" s="79"/>
      <c r="E136" s="58"/>
      <c r="F136" s="271"/>
      <c r="G136" s="58"/>
      <c r="H136" s="58"/>
      <c r="I136" s="58"/>
      <c r="J136" s="58"/>
      <c r="K136" s="58"/>
      <c r="L136" s="57"/>
    </row>
    <row r="137" spans="1:13" s="69" customFormat="1" ht="13.8" x14ac:dyDescent="0.3">
      <c r="A137" s="80"/>
      <c r="B137" s="24" t="s">
        <v>340</v>
      </c>
      <c r="C137" s="79" t="s">
        <v>13</v>
      </c>
      <c r="D137" s="79">
        <f>7</f>
        <v>7</v>
      </c>
      <c r="E137" s="58"/>
      <c r="F137" s="297"/>
      <c r="G137" s="56"/>
      <c r="H137" s="58"/>
      <c r="I137" s="58"/>
      <c r="J137" s="58"/>
      <c r="K137" s="58"/>
      <c r="L137" s="57"/>
      <c r="M137" s="126"/>
    </row>
    <row r="138" spans="1:13" s="69" customFormat="1" ht="13.95" customHeight="1" x14ac:dyDescent="0.3">
      <c r="A138" s="80"/>
      <c r="B138" s="24" t="s">
        <v>481</v>
      </c>
      <c r="C138" s="79" t="s">
        <v>342</v>
      </c>
      <c r="D138" s="79">
        <v>1.02</v>
      </c>
      <c r="E138" s="58"/>
      <c r="F138" s="271"/>
      <c r="G138" s="56"/>
      <c r="H138" s="58"/>
      <c r="I138" s="58"/>
      <c r="J138" s="58"/>
      <c r="K138" s="58"/>
      <c r="L138" s="57"/>
    </row>
    <row r="139" spans="1:13" s="69" customFormat="1" ht="13.95" customHeight="1" thickBot="1" x14ac:dyDescent="0.35">
      <c r="A139" s="298"/>
      <c r="B139" s="98" t="s">
        <v>14</v>
      </c>
      <c r="C139" s="141" t="s">
        <v>15</v>
      </c>
      <c r="D139" s="141">
        <v>0.22</v>
      </c>
      <c r="E139" s="142"/>
      <c r="F139" s="311"/>
      <c r="G139" s="143"/>
      <c r="H139" s="142"/>
      <c r="I139" s="142"/>
      <c r="J139" s="142"/>
      <c r="K139" s="142"/>
      <c r="L139" s="144"/>
    </row>
    <row r="140" spans="1:13" s="69" customFormat="1" ht="19.5" customHeight="1" x14ac:dyDescent="0.3">
      <c r="A140" s="97">
        <v>9</v>
      </c>
      <c r="B140" s="137" t="s">
        <v>280</v>
      </c>
      <c r="C140" s="134" t="s">
        <v>33</v>
      </c>
      <c r="D140" s="134"/>
      <c r="E140" s="138">
        <f>E133</f>
        <v>4.9000000000000004</v>
      </c>
      <c r="F140" s="312"/>
      <c r="G140" s="138"/>
      <c r="H140" s="138"/>
      <c r="I140" s="138"/>
      <c r="J140" s="138"/>
      <c r="K140" s="138"/>
      <c r="L140" s="139"/>
    </row>
    <row r="141" spans="1:13" s="69" customFormat="1" ht="13.95" customHeight="1" x14ac:dyDescent="0.3">
      <c r="A141" s="408"/>
      <c r="B141" s="24" t="s">
        <v>8</v>
      </c>
      <c r="C141" s="79" t="s">
        <v>33</v>
      </c>
      <c r="D141" s="79">
        <v>1</v>
      </c>
      <c r="E141" s="58"/>
      <c r="F141" s="271"/>
      <c r="G141" s="58"/>
      <c r="H141" s="58"/>
      <c r="I141" s="58"/>
      <c r="J141" s="58"/>
      <c r="K141" s="58"/>
      <c r="L141" s="57"/>
    </row>
    <row r="142" spans="1:13" s="69" customFormat="1" ht="13.95" customHeight="1" x14ac:dyDescent="0.3">
      <c r="A142" s="408"/>
      <c r="B142" s="24" t="s">
        <v>10</v>
      </c>
      <c r="C142" s="79" t="s">
        <v>15</v>
      </c>
      <c r="D142" s="79">
        <v>1.7000000000000001E-2</v>
      </c>
      <c r="E142" s="58"/>
      <c r="F142" s="271"/>
      <c r="G142" s="58"/>
      <c r="H142" s="58"/>
      <c r="I142" s="58"/>
      <c r="J142" s="58"/>
      <c r="K142" s="58"/>
      <c r="L142" s="57"/>
    </row>
    <row r="143" spans="1:13" s="69" customFormat="1" ht="13.95" customHeight="1" x14ac:dyDescent="0.3">
      <c r="A143" s="408"/>
      <c r="B143" s="24" t="s">
        <v>12</v>
      </c>
      <c r="C143" s="79"/>
      <c r="D143" s="79"/>
      <c r="E143" s="58"/>
      <c r="F143" s="271"/>
      <c r="G143" s="58"/>
      <c r="H143" s="58"/>
      <c r="I143" s="58"/>
      <c r="J143" s="58"/>
      <c r="K143" s="58"/>
      <c r="L143" s="57"/>
    </row>
    <row r="144" spans="1:13" s="69" customFormat="1" ht="13.8" x14ac:dyDescent="0.3">
      <c r="A144" s="408"/>
      <c r="B144" s="24" t="s">
        <v>274</v>
      </c>
      <c r="C144" s="79" t="s">
        <v>15</v>
      </c>
      <c r="D144" s="79">
        <f>0.15</f>
        <v>0.15</v>
      </c>
      <c r="E144" s="58"/>
      <c r="F144" s="297"/>
      <c r="G144" s="56"/>
      <c r="H144" s="58"/>
      <c r="I144" s="58"/>
      <c r="J144" s="58"/>
      <c r="K144" s="58"/>
      <c r="L144" s="57"/>
      <c r="M144" s="126"/>
    </row>
    <row r="145" spans="1:16384" s="69" customFormat="1" ht="13.95" customHeight="1" thickBot="1" x14ac:dyDescent="0.35">
      <c r="A145" s="409"/>
      <c r="B145" s="98" t="s">
        <v>14</v>
      </c>
      <c r="C145" s="141" t="s">
        <v>15</v>
      </c>
      <c r="D145" s="141">
        <v>0.22</v>
      </c>
      <c r="E145" s="142"/>
      <c r="F145" s="311"/>
      <c r="G145" s="143"/>
      <c r="H145" s="142"/>
      <c r="I145" s="142"/>
      <c r="J145" s="142"/>
      <c r="K145" s="142"/>
      <c r="L145" s="144"/>
    </row>
    <row r="146" spans="1:16384" ht="26.25" customHeight="1" x14ac:dyDescent="0.3">
      <c r="A146" s="136">
        <v>10</v>
      </c>
      <c r="B146" s="137" t="s">
        <v>408</v>
      </c>
      <c r="C146" s="134" t="s">
        <v>33</v>
      </c>
      <c r="D146" s="134"/>
      <c r="E146" s="138">
        <f>E133</f>
        <v>4.9000000000000004</v>
      </c>
      <c r="F146" s="438"/>
      <c r="G146" s="138"/>
      <c r="H146" s="138"/>
      <c r="I146" s="138"/>
      <c r="J146" s="138"/>
      <c r="K146" s="138"/>
      <c r="L146" s="139"/>
    </row>
    <row r="147" spans="1:16384" ht="15" x14ac:dyDescent="0.3">
      <c r="A147" s="78"/>
      <c r="B147" s="24" t="s">
        <v>8</v>
      </c>
      <c r="C147" s="79" t="s">
        <v>51</v>
      </c>
      <c r="D147" s="58">
        <v>1</v>
      </c>
      <c r="E147" s="91"/>
      <c r="F147" s="297"/>
      <c r="G147" s="58"/>
      <c r="H147" s="191"/>
      <c r="I147" s="58"/>
      <c r="J147" s="58"/>
      <c r="K147" s="56"/>
      <c r="L147" s="57"/>
    </row>
    <row r="148" spans="1:16384" x14ac:dyDescent="0.3">
      <c r="A148" s="78"/>
      <c r="B148" s="24" t="s">
        <v>237</v>
      </c>
      <c r="C148" s="79" t="s">
        <v>11</v>
      </c>
      <c r="D148" s="58">
        <v>0.01</v>
      </c>
      <c r="E148" s="91"/>
      <c r="F148" s="297"/>
      <c r="G148" s="58"/>
      <c r="H148" s="58"/>
      <c r="I148" s="58"/>
      <c r="J148" s="58"/>
      <c r="K148" s="56"/>
      <c r="L148" s="57"/>
    </row>
    <row r="149" spans="1:16384" x14ac:dyDescent="0.3">
      <c r="A149" s="78"/>
      <c r="B149" s="24" t="s">
        <v>12</v>
      </c>
      <c r="C149" s="79"/>
      <c r="D149" s="58"/>
      <c r="E149" s="91"/>
      <c r="F149" s="297"/>
      <c r="G149" s="58"/>
      <c r="H149" s="58"/>
      <c r="I149" s="58"/>
      <c r="J149" s="58"/>
      <c r="K149" s="56"/>
      <c r="L149" s="57"/>
    </row>
    <row r="150" spans="1:16384" x14ac:dyDescent="0.3">
      <c r="A150" s="78"/>
      <c r="B150" s="24" t="s">
        <v>477</v>
      </c>
      <c r="C150" s="79" t="s">
        <v>13</v>
      </c>
      <c r="D150" s="58">
        <v>0.63</v>
      </c>
      <c r="E150" s="91"/>
      <c r="F150" s="297"/>
      <c r="G150" s="56"/>
      <c r="H150" s="58"/>
      <c r="I150" s="58"/>
      <c r="J150" s="58"/>
      <c r="K150" s="56"/>
      <c r="L150" s="57"/>
    </row>
    <row r="151" spans="1:16384" ht="15" thickBot="1" x14ac:dyDescent="0.35">
      <c r="A151" s="140"/>
      <c r="B151" s="98" t="s">
        <v>230</v>
      </c>
      <c r="C151" s="141" t="s">
        <v>15</v>
      </c>
      <c r="D151" s="142">
        <v>1.7999999999999999E-2</v>
      </c>
      <c r="E151" s="299"/>
      <c r="F151" s="313"/>
      <c r="G151" s="143"/>
      <c r="H151" s="142"/>
      <c r="I151" s="142"/>
      <c r="J151" s="142"/>
      <c r="K151" s="143"/>
      <c r="L151" s="144"/>
    </row>
    <row r="152" spans="1:16384" s="226" customFormat="1" ht="15" thickBot="1" x14ac:dyDescent="0.35">
      <c r="A152" s="220"/>
      <c r="B152" s="227" t="s">
        <v>458</v>
      </c>
      <c r="C152" s="222"/>
      <c r="D152" s="222"/>
      <c r="E152" s="223"/>
      <c r="F152" s="223"/>
      <c r="G152" s="224"/>
      <c r="H152" s="223"/>
      <c r="I152" s="223"/>
      <c r="J152" s="223"/>
      <c r="K152" s="223"/>
      <c r="L152" s="225"/>
      <c r="M152" s="605"/>
      <c r="N152" s="308"/>
      <c r="O152" s="307"/>
      <c r="P152" s="307"/>
      <c r="Q152" s="309"/>
      <c r="R152" s="309"/>
      <c r="S152" s="310"/>
      <c r="T152" s="309"/>
      <c r="U152" s="309"/>
      <c r="V152" s="309"/>
      <c r="W152" s="309"/>
      <c r="X152" s="310"/>
      <c r="Y152" s="307"/>
      <c r="Z152" s="308"/>
      <c r="AA152" s="307"/>
      <c r="AB152" s="307"/>
      <c r="AC152" s="309"/>
      <c r="AD152" s="309"/>
      <c r="AE152" s="310"/>
      <c r="AF152" s="309"/>
      <c r="AG152" s="309"/>
      <c r="AH152" s="309"/>
      <c r="AI152" s="309"/>
      <c r="AJ152" s="310"/>
      <c r="AK152" s="307"/>
      <c r="AL152" s="308"/>
      <c r="AM152" s="307"/>
      <c r="AN152" s="307"/>
      <c r="AO152" s="309"/>
      <c r="AP152" s="309"/>
      <c r="AQ152" s="314"/>
      <c r="AR152" s="223"/>
      <c r="AS152" s="223"/>
      <c r="AT152" s="223"/>
      <c r="AU152" s="223"/>
      <c r="AV152" s="225"/>
      <c r="AW152" s="220"/>
      <c r="AX152" s="221"/>
      <c r="AY152" s="222"/>
      <c r="AZ152" s="222"/>
      <c r="BA152" s="223"/>
      <c r="BB152" s="223"/>
      <c r="BC152" s="224"/>
      <c r="BD152" s="223"/>
      <c r="BE152" s="223"/>
      <c r="BF152" s="223"/>
      <c r="BG152" s="223"/>
      <c r="BH152" s="225"/>
      <c r="BI152" s="220"/>
      <c r="BJ152" s="221"/>
      <c r="BK152" s="222"/>
      <c r="BL152" s="222"/>
      <c r="BM152" s="223"/>
      <c r="BN152" s="223"/>
      <c r="BO152" s="224"/>
      <c r="BP152" s="223"/>
      <c r="BQ152" s="223"/>
      <c r="BR152" s="223"/>
      <c r="BS152" s="223"/>
      <c r="BT152" s="225"/>
      <c r="BU152" s="220"/>
      <c r="BV152" s="221"/>
      <c r="BW152" s="222"/>
      <c r="BX152" s="222"/>
      <c r="BY152" s="223"/>
      <c r="BZ152" s="223"/>
      <c r="CA152" s="224"/>
      <c r="CB152" s="223"/>
      <c r="CC152" s="223"/>
      <c r="CD152" s="223"/>
      <c r="CE152" s="223"/>
      <c r="CF152" s="225"/>
      <c r="CG152" s="220"/>
      <c r="CH152" s="221"/>
      <c r="CI152" s="222"/>
      <c r="CJ152" s="222"/>
      <c r="CK152" s="223"/>
      <c r="CL152" s="223"/>
      <c r="CM152" s="224"/>
      <c r="CN152" s="223"/>
      <c r="CO152" s="223"/>
      <c r="CP152" s="223"/>
      <c r="CQ152" s="223"/>
      <c r="CR152" s="225"/>
      <c r="CS152" s="220"/>
      <c r="CT152" s="221"/>
      <c r="CU152" s="222"/>
      <c r="CV152" s="222"/>
      <c r="CW152" s="223"/>
      <c r="CX152" s="223"/>
      <c r="CY152" s="224"/>
      <c r="CZ152" s="223"/>
      <c r="DA152" s="223"/>
      <c r="DB152" s="223"/>
      <c r="DC152" s="223"/>
      <c r="DD152" s="225"/>
      <c r="DE152" s="220"/>
      <c r="DF152" s="221"/>
      <c r="DG152" s="222"/>
      <c r="DH152" s="222"/>
      <c r="DI152" s="223"/>
      <c r="DJ152" s="223"/>
      <c r="DK152" s="224"/>
      <c r="DL152" s="223"/>
      <c r="DM152" s="223"/>
      <c r="DN152" s="223"/>
      <c r="DO152" s="223"/>
      <c r="DP152" s="225"/>
      <c r="DQ152" s="220"/>
      <c r="DR152" s="221"/>
      <c r="DS152" s="222"/>
      <c r="DT152" s="222"/>
      <c r="DU152" s="223"/>
      <c r="DV152" s="223"/>
      <c r="DW152" s="224"/>
      <c r="DX152" s="223"/>
      <c r="DY152" s="223"/>
      <c r="DZ152" s="223"/>
      <c r="EA152" s="223"/>
      <c r="EB152" s="225"/>
      <c r="EC152" s="220"/>
      <c r="ED152" s="221"/>
      <c r="EE152" s="222"/>
      <c r="EF152" s="222"/>
      <c r="EG152" s="223"/>
      <c r="EH152" s="223"/>
      <c r="EI152" s="224"/>
      <c r="EJ152" s="223"/>
      <c r="EK152" s="223"/>
      <c r="EL152" s="223"/>
      <c r="EM152" s="223"/>
      <c r="EN152" s="225"/>
      <c r="EO152" s="220"/>
      <c r="EP152" s="221"/>
      <c r="EQ152" s="222"/>
      <c r="ER152" s="222"/>
      <c r="ES152" s="223"/>
      <c r="ET152" s="223"/>
      <c r="EU152" s="224"/>
      <c r="EV152" s="223"/>
      <c r="EW152" s="223"/>
      <c r="EX152" s="223"/>
      <c r="EY152" s="223"/>
      <c r="EZ152" s="225"/>
      <c r="FA152" s="220"/>
      <c r="FB152" s="221"/>
      <c r="FC152" s="222"/>
      <c r="FD152" s="222"/>
      <c r="FE152" s="223"/>
      <c r="FF152" s="223"/>
      <c r="FG152" s="224"/>
      <c r="FH152" s="223"/>
      <c r="FI152" s="223"/>
      <c r="FJ152" s="223"/>
      <c r="FK152" s="223"/>
      <c r="FL152" s="225"/>
      <c r="FM152" s="220"/>
      <c r="FN152" s="221"/>
      <c r="FO152" s="222"/>
      <c r="FP152" s="222"/>
      <c r="FQ152" s="223"/>
      <c r="FR152" s="223"/>
      <c r="FS152" s="224"/>
      <c r="FT152" s="223"/>
      <c r="FU152" s="223"/>
      <c r="FV152" s="223"/>
      <c r="FW152" s="223"/>
      <c r="FX152" s="225"/>
      <c r="FY152" s="220"/>
      <c r="FZ152" s="221"/>
      <c r="GA152" s="222"/>
      <c r="GB152" s="222"/>
      <c r="GC152" s="223"/>
      <c r="GD152" s="223"/>
      <c r="GE152" s="224"/>
      <c r="GF152" s="223"/>
      <c r="GG152" s="223"/>
      <c r="GH152" s="223"/>
      <c r="GI152" s="223"/>
      <c r="GJ152" s="225"/>
      <c r="GK152" s="220"/>
      <c r="GL152" s="221"/>
      <c r="GM152" s="222"/>
      <c r="GN152" s="222"/>
      <c r="GO152" s="223"/>
      <c r="GP152" s="223"/>
      <c r="GQ152" s="224"/>
      <c r="GR152" s="223"/>
      <c r="GS152" s="223"/>
      <c r="GT152" s="223"/>
      <c r="GU152" s="223"/>
      <c r="GV152" s="225"/>
      <c r="GW152" s="220"/>
      <c r="GX152" s="221"/>
      <c r="GY152" s="222"/>
      <c r="GZ152" s="222"/>
      <c r="HA152" s="223"/>
      <c r="HB152" s="223"/>
      <c r="HC152" s="224"/>
      <c r="HD152" s="223"/>
      <c r="HE152" s="223"/>
      <c r="HF152" s="223"/>
      <c r="HG152" s="223"/>
      <c r="HH152" s="225"/>
      <c r="HI152" s="220"/>
      <c r="HJ152" s="221"/>
      <c r="HK152" s="222"/>
      <c r="HL152" s="222"/>
      <c r="HM152" s="223"/>
      <c r="HN152" s="223"/>
      <c r="HO152" s="224"/>
      <c r="HP152" s="223"/>
      <c r="HQ152" s="223"/>
      <c r="HR152" s="223"/>
      <c r="HS152" s="223"/>
      <c r="HT152" s="225"/>
      <c r="HU152" s="220"/>
      <c r="HV152" s="221"/>
      <c r="HW152" s="222"/>
      <c r="HX152" s="222"/>
      <c r="HY152" s="223"/>
      <c r="HZ152" s="223"/>
      <c r="IA152" s="224"/>
      <c r="IB152" s="223"/>
      <c r="IC152" s="223"/>
      <c r="ID152" s="223"/>
      <c r="IE152" s="223"/>
      <c r="IF152" s="225"/>
      <c r="IG152" s="220"/>
      <c r="IH152" s="221"/>
      <c r="II152" s="222"/>
      <c r="IJ152" s="222"/>
      <c r="IK152" s="223"/>
      <c r="IL152" s="223"/>
      <c r="IM152" s="224"/>
      <c r="IN152" s="223"/>
      <c r="IO152" s="223"/>
      <c r="IP152" s="223"/>
      <c r="IQ152" s="223"/>
      <c r="IR152" s="225"/>
      <c r="IS152" s="220"/>
      <c r="IT152" s="221"/>
      <c r="IU152" s="222"/>
      <c r="IV152" s="222"/>
      <c r="IW152" s="223"/>
      <c r="IX152" s="223"/>
      <c r="IY152" s="224"/>
      <c r="IZ152" s="223"/>
      <c r="JA152" s="223"/>
      <c r="JB152" s="223"/>
      <c r="JC152" s="223"/>
      <c r="JD152" s="225"/>
      <c r="JE152" s="220"/>
      <c r="JF152" s="221"/>
      <c r="JG152" s="222"/>
      <c r="JH152" s="222"/>
      <c r="JI152" s="223"/>
      <c r="JJ152" s="223"/>
      <c r="JK152" s="224"/>
      <c r="JL152" s="223"/>
      <c r="JM152" s="223"/>
      <c r="JN152" s="223"/>
      <c r="JO152" s="223"/>
      <c r="JP152" s="225"/>
      <c r="JQ152" s="220"/>
      <c r="JR152" s="221"/>
      <c r="JS152" s="222"/>
      <c r="JT152" s="222"/>
      <c r="JU152" s="223"/>
      <c r="JV152" s="223"/>
      <c r="JW152" s="224"/>
      <c r="JX152" s="223"/>
      <c r="JY152" s="223"/>
      <c r="JZ152" s="223"/>
      <c r="KA152" s="223"/>
      <c r="KB152" s="225"/>
      <c r="KC152" s="220"/>
      <c r="KD152" s="221"/>
      <c r="KE152" s="222"/>
      <c r="KF152" s="222"/>
      <c r="KG152" s="223"/>
      <c r="KH152" s="223"/>
      <c r="KI152" s="224"/>
      <c r="KJ152" s="223"/>
      <c r="KK152" s="223"/>
      <c r="KL152" s="223"/>
      <c r="KM152" s="223"/>
      <c r="KN152" s="225"/>
      <c r="KO152" s="220"/>
      <c r="KP152" s="221"/>
      <c r="KQ152" s="222"/>
      <c r="KR152" s="222"/>
      <c r="KS152" s="223"/>
      <c r="KT152" s="223"/>
      <c r="KU152" s="224"/>
      <c r="KV152" s="223"/>
      <c r="KW152" s="223"/>
      <c r="KX152" s="223"/>
      <c r="KY152" s="223"/>
      <c r="KZ152" s="225"/>
      <c r="LA152" s="220"/>
      <c r="LB152" s="221"/>
      <c r="LC152" s="222"/>
      <c r="LD152" s="222"/>
      <c r="LE152" s="223"/>
      <c r="LF152" s="223"/>
      <c r="LG152" s="224"/>
      <c r="LH152" s="223"/>
      <c r="LI152" s="223"/>
      <c r="LJ152" s="223"/>
      <c r="LK152" s="223"/>
      <c r="LL152" s="225"/>
      <c r="LM152" s="220"/>
      <c r="LN152" s="221"/>
      <c r="LO152" s="222"/>
      <c r="LP152" s="222"/>
      <c r="LQ152" s="223"/>
      <c r="LR152" s="223"/>
      <c r="LS152" s="224"/>
      <c r="LT152" s="223"/>
      <c r="LU152" s="223"/>
      <c r="LV152" s="223"/>
      <c r="LW152" s="223"/>
      <c r="LX152" s="225"/>
      <c r="LY152" s="220"/>
      <c r="LZ152" s="221"/>
      <c r="MA152" s="222"/>
      <c r="MB152" s="222"/>
      <c r="MC152" s="223"/>
      <c r="MD152" s="223"/>
      <c r="ME152" s="224"/>
      <c r="MF152" s="223"/>
      <c r="MG152" s="223"/>
      <c r="MH152" s="223"/>
      <c r="MI152" s="223"/>
      <c r="MJ152" s="225"/>
      <c r="MK152" s="220"/>
      <c r="ML152" s="221"/>
      <c r="MM152" s="222"/>
      <c r="MN152" s="222"/>
      <c r="MO152" s="223"/>
      <c r="MP152" s="223"/>
      <c r="MQ152" s="224"/>
      <c r="MR152" s="223"/>
      <c r="MS152" s="223"/>
      <c r="MT152" s="223"/>
      <c r="MU152" s="223"/>
      <c r="MV152" s="225"/>
      <c r="MW152" s="220"/>
      <c r="MX152" s="221"/>
      <c r="MY152" s="222"/>
      <c r="MZ152" s="222"/>
      <c r="NA152" s="223"/>
      <c r="NB152" s="223"/>
      <c r="NC152" s="224"/>
      <c r="ND152" s="223"/>
      <c r="NE152" s="223"/>
      <c r="NF152" s="223"/>
      <c r="NG152" s="223"/>
      <c r="NH152" s="225"/>
      <c r="NI152" s="220"/>
      <c r="NJ152" s="221"/>
      <c r="NK152" s="222"/>
      <c r="NL152" s="222"/>
      <c r="NM152" s="223"/>
      <c r="NN152" s="223"/>
      <c r="NO152" s="224"/>
      <c r="NP152" s="223"/>
      <c r="NQ152" s="223"/>
      <c r="NR152" s="223"/>
      <c r="NS152" s="223"/>
      <c r="NT152" s="225"/>
      <c r="NU152" s="220"/>
      <c r="NV152" s="221"/>
      <c r="NW152" s="222"/>
      <c r="NX152" s="222"/>
      <c r="NY152" s="223"/>
      <c r="NZ152" s="223"/>
      <c r="OA152" s="224"/>
      <c r="OB152" s="223"/>
      <c r="OC152" s="223"/>
      <c r="OD152" s="223"/>
      <c r="OE152" s="223"/>
      <c r="OF152" s="225"/>
      <c r="OG152" s="220"/>
      <c r="OH152" s="221"/>
      <c r="OI152" s="222"/>
      <c r="OJ152" s="222"/>
      <c r="OK152" s="223"/>
      <c r="OL152" s="223"/>
      <c r="OM152" s="224"/>
      <c r="ON152" s="223"/>
      <c r="OO152" s="223"/>
      <c r="OP152" s="223"/>
      <c r="OQ152" s="223"/>
      <c r="OR152" s="225"/>
      <c r="OS152" s="220"/>
      <c r="OT152" s="221"/>
      <c r="OU152" s="222"/>
      <c r="OV152" s="222"/>
      <c r="OW152" s="223"/>
      <c r="OX152" s="223"/>
      <c r="OY152" s="224"/>
      <c r="OZ152" s="223"/>
      <c r="PA152" s="223"/>
      <c r="PB152" s="223"/>
      <c r="PC152" s="223"/>
      <c r="PD152" s="225"/>
      <c r="PE152" s="220"/>
      <c r="PF152" s="221"/>
      <c r="PG152" s="222"/>
      <c r="PH152" s="222"/>
      <c r="PI152" s="223"/>
      <c r="PJ152" s="223"/>
      <c r="PK152" s="224"/>
      <c r="PL152" s="223"/>
      <c r="PM152" s="223"/>
      <c r="PN152" s="223"/>
      <c r="PO152" s="223"/>
      <c r="PP152" s="225"/>
      <c r="PQ152" s="220"/>
      <c r="PR152" s="221"/>
      <c r="PS152" s="222"/>
      <c r="PT152" s="222"/>
      <c r="PU152" s="223"/>
      <c r="PV152" s="223"/>
      <c r="PW152" s="224"/>
      <c r="PX152" s="223"/>
      <c r="PY152" s="223"/>
      <c r="PZ152" s="223"/>
      <c r="QA152" s="223"/>
      <c r="QB152" s="225"/>
      <c r="QC152" s="220"/>
      <c r="QD152" s="221"/>
      <c r="QE152" s="222"/>
      <c r="QF152" s="222"/>
      <c r="QG152" s="223"/>
      <c r="QH152" s="223"/>
      <c r="QI152" s="224"/>
      <c r="QJ152" s="223"/>
      <c r="QK152" s="223"/>
      <c r="QL152" s="223"/>
      <c r="QM152" s="223"/>
      <c r="QN152" s="225"/>
      <c r="QO152" s="220"/>
      <c r="QP152" s="221"/>
      <c r="QQ152" s="222"/>
      <c r="QR152" s="222"/>
      <c r="QS152" s="223"/>
      <c r="QT152" s="223"/>
      <c r="QU152" s="224"/>
      <c r="QV152" s="223"/>
      <c r="QW152" s="223"/>
      <c r="QX152" s="223"/>
      <c r="QY152" s="223"/>
      <c r="QZ152" s="225"/>
      <c r="RA152" s="220"/>
      <c r="RB152" s="221"/>
      <c r="RC152" s="222"/>
      <c r="RD152" s="222"/>
      <c r="RE152" s="223"/>
      <c r="RF152" s="223"/>
      <c r="RG152" s="224"/>
      <c r="RH152" s="223"/>
      <c r="RI152" s="223"/>
      <c r="RJ152" s="223"/>
      <c r="RK152" s="223"/>
      <c r="RL152" s="225"/>
      <c r="RM152" s="220"/>
      <c r="RN152" s="221"/>
      <c r="RO152" s="222"/>
      <c r="RP152" s="222"/>
      <c r="RQ152" s="223"/>
      <c r="RR152" s="223"/>
      <c r="RS152" s="224"/>
      <c r="RT152" s="223"/>
      <c r="RU152" s="223"/>
      <c r="RV152" s="223"/>
      <c r="RW152" s="223"/>
      <c r="RX152" s="225"/>
      <c r="RY152" s="220"/>
      <c r="RZ152" s="221"/>
      <c r="SA152" s="222"/>
      <c r="SB152" s="222"/>
      <c r="SC152" s="223"/>
      <c r="SD152" s="223"/>
      <c r="SE152" s="224"/>
      <c r="SF152" s="223"/>
      <c r="SG152" s="223"/>
      <c r="SH152" s="223"/>
      <c r="SI152" s="223"/>
      <c r="SJ152" s="225"/>
      <c r="SK152" s="220"/>
      <c r="SL152" s="221"/>
      <c r="SM152" s="222"/>
      <c r="SN152" s="222"/>
      <c r="SO152" s="223"/>
      <c r="SP152" s="223"/>
      <c r="SQ152" s="224"/>
      <c r="SR152" s="223"/>
      <c r="SS152" s="223"/>
      <c r="ST152" s="223"/>
      <c r="SU152" s="223"/>
      <c r="SV152" s="225"/>
      <c r="SW152" s="220"/>
      <c r="SX152" s="221"/>
      <c r="SY152" s="222"/>
      <c r="SZ152" s="222"/>
      <c r="TA152" s="223"/>
      <c r="TB152" s="223"/>
      <c r="TC152" s="224"/>
      <c r="TD152" s="223"/>
      <c r="TE152" s="223"/>
      <c r="TF152" s="223"/>
      <c r="TG152" s="223"/>
      <c r="TH152" s="225"/>
      <c r="TI152" s="220"/>
      <c r="TJ152" s="221"/>
      <c r="TK152" s="222"/>
      <c r="TL152" s="222"/>
      <c r="TM152" s="223"/>
      <c r="TN152" s="223"/>
      <c r="TO152" s="224"/>
      <c r="TP152" s="223"/>
      <c r="TQ152" s="223"/>
      <c r="TR152" s="223"/>
      <c r="TS152" s="223"/>
      <c r="TT152" s="225"/>
      <c r="TU152" s="220"/>
      <c r="TV152" s="221"/>
      <c r="TW152" s="222"/>
      <c r="TX152" s="222"/>
      <c r="TY152" s="223"/>
      <c r="TZ152" s="223"/>
      <c r="UA152" s="224"/>
      <c r="UB152" s="223"/>
      <c r="UC152" s="223"/>
      <c r="UD152" s="223"/>
      <c r="UE152" s="223"/>
      <c r="UF152" s="225"/>
      <c r="UG152" s="220"/>
      <c r="UH152" s="221"/>
      <c r="UI152" s="222"/>
      <c r="UJ152" s="222"/>
      <c r="UK152" s="223"/>
      <c r="UL152" s="223"/>
      <c r="UM152" s="224"/>
      <c r="UN152" s="223"/>
      <c r="UO152" s="223"/>
      <c r="UP152" s="223"/>
      <c r="UQ152" s="223"/>
      <c r="UR152" s="225"/>
      <c r="US152" s="220"/>
      <c r="UT152" s="221"/>
      <c r="UU152" s="222"/>
      <c r="UV152" s="222"/>
      <c r="UW152" s="223"/>
      <c r="UX152" s="223"/>
      <c r="UY152" s="224"/>
      <c r="UZ152" s="223"/>
      <c r="VA152" s="223"/>
      <c r="VB152" s="223"/>
      <c r="VC152" s="223"/>
      <c r="VD152" s="225"/>
      <c r="VE152" s="220"/>
      <c r="VF152" s="221"/>
      <c r="VG152" s="222"/>
      <c r="VH152" s="222"/>
      <c r="VI152" s="223"/>
      <c r="VJ152" s="223"/>
      <c r="VK152" s="224"/>
      <c r="VL152" s="223"/>
      <c r="VM152" s="223"/>
      <c r="VN152" s="223"/>
      <c r="VO152" s="223"/>
      <c r="VP152" s="225"/>
      <c r="VQ152" s="220"/>
      <c r="VR152" s="221"/>
      <c r="VS152" s="222"/>
      <c r="VT152" s="222"/>
      <c r="VU152" s="223"/>
      <c r="VV152" s="223"/>
      <c r="VW152" s="224"/>
      <c r="VX152" s="223"/>
      <c r="VY152" s="223"/>
      <c r="VZ152" s="223"/>
      <c r="WA152" s="223"/>
      <c r="WB152" s="225"/>
      <c r="WC152" s="220"/>
      <c r="WD152" s="221"/>
      <c r="WE152" s="222"/>
      <c r="WF152" s="222"/>
      <c r="WG152" s="223"/>
      <c r="WH152" s="223"/>
      <c r="WI152" s="224"/>
      <c r="WJ152" s="223"/>
      <c r="WK152" s="223"/>
      <c r="WL152" s="223"/>
      <c r="WM152" s="223"/>
      <c r="WN152" s="225"/>
      <c r="WO152" s="220"/>
      <c r="WP152" s="221"/>
      <c r="WQ152" s="222"/>
      <c r="WR152" s="222"/>
      <c r="WS152" s="223"/>
      <c r="WT152" s="223"/>
      <c r="WU152" s="224"/>
      <c r="WV152" s="223"/>
      <c r="WW152" s="223"/>
      <c r="WX152" s="223"/>
      <c r="WY152" s="223"/>
      <c r="WZ152" s="225"/>
      <c r="XA152" s="220"/>
      <c r="XB152" s="221"/>
      <c r="XC152" s="222"/>
      <c r="XD152" s="222"/>
      <c r="XE152" s="223"/>
      <c r="XF152" s="223"/>
      <c r="XG152" s="224"/>
      <c r="XH152" s="223"/>
      <c r="XI152" s="223"/>
      <c r="XJ152" s="223"/>
      <c r="XK152" s="223"/>
      <c r="XL152" s="225"/>
      <c r="XM152" s="220"/>
      <c r="XN152" s="221"/>
      <c r="XO152" s="222"/>
      <c r="XP152" s="222"/>
      <c r="XQ152" s="223"/>
      <c r="XR152" s="223"/>
      <c r="XS152" s="224"/>
      <c r="XT152" s="223"/>
      <c r="XU152" s="223"/>
      <c r="XV152" s="223"/>
      <c r="XW152" s="223"/>
      <c r="XX152" s="225"/>
      <c r="XY152" s="220"/>
      <c r="XZ152" s="221"/>
      <c r="YA152" s="222"/>
      <c r="YB152" s="222"/>
      <c r="YC152" s="223"/>
      <c r="YD152" s="223"/>
      <c r="YE152" s="224"/>
      <c r="YF152" s="223"/>
      <c r="YG152" s="223"/>
      <c r="YH152" s="223"/>
      <c r="YI152" s="223"/>
      <c r="YJ152" s="225"/>
      <c r="YK152" s="220"/>
      <c r="YL152" s="221"/>
      <c r="YM152" s="222"/>
      <c r="YN152" s="222"/>
      <c r="YO152" s="223"/>
      <c r="YP152" s="223"/>
      <c r="YQ152" s="224"/>
      <c r="YR152" s="223"/>
      <c r="YS152" s="223"/>
      <c r="YT152" s="223"/>
      <c r="YU152" s="223"/>
      <c r="YV152" s="225"/>
      <c r="YW152" s="220"/>
      <c r="YX152" s="221"/>
      <c r="YY152" s="222"/>
      <c r="YZ152" s="222"/>
      <c r="ZA152" s="223"/>
      <c r="ZB152" s="223"/>
      <c r="ZC152" s="224"/>
      <c r="ZD152" s="223"/>
      <c r="ZE152" s="223"/>
      <c r="ZF152" s="223"/>
      <c r="ZG152" s="223"/>
      <c r="ZH152" s="225"/>
      <c r="ZI152" s="220"/>
      <c r="ZJ152" s="221"/>
      <c r="ZK152" s="222"/>
      <c r="ZL152" s="222"/>
      <c r="ZM152" s="223"/>
      <c r="ZN152" s="223"/>
      <c r="ZO152" s="224"/>
      <c r="ZP152" s="223"/>
      <c r="ZQ152" s="223"/>
      <c r="ZR152" s="223"/>
      <c r="ZS152" s="223"/>
      <c r="ZT152" s="225"/>
      <c r="ZU152" s="220"/>
      <c r="ZV152" s="221"/>
      <c r="ZW152" s="222"/>
      <c r="ZX152" s="222"/>
      <c r="ZY152" s="223"/>
      <c r="ZZ152" s="223"/>
      <c r="AAA152" s="224"/>
      <c r="AAB152" s="223"/>
      <c r="AAC152" s="223"/>
      <c r="AAD152" s="223"/>
      <c r="AAE152" s="223"/>
      <c r="AAF152" s="225"/>
      <c r="AAG152" s="220"/>
      <c r="AAH152" s="221"/>
      <c r="AAI152" s="222"/>
      <c r="AAJ152" s="222"/>
      <c r="AAK152" s="223"/>
      <c r="AAL152" s="223"/>
      <c r="AAM152" s="224"/>
      <c r="AAN152" s="223"/>
      <c r="AAO152" s="223"/>
      <c r="AAP152" s="223"/>
      <c r="AAQ152" s="223"/>
      <c r="AAR152" s="225"/>
      <c r="AAS152" s="220"/>
      <c r="AAT152" s="221"/>
      <c r="AAU152" s="222"/>
      <c r="AAV152" s="222"/>
      <c r="AAW152" s="223"/>
      <c r="AAX152" s="223"/>
      <c r="AAY152" s="224"/>
      <c r="AAZ152" s="223"/>
      <c r="ABA152" s="223"/>
      <c r="ABB152" s="223"/>
      <c r="ABC152" s="223"/>
      <c r="ABD152" s="225"/>
      <c r="ABE152" s="220"/>
      <c r="ABF152" s="221"/>
      <c r="ABG152" s="222"/>
      <c r="ABH152" s="222"/>
      <c r="ABI152" s="223"/>
      <c r="ABJ152" s="223"/>
      <c r="ABK152" s="224"/>
      <c r="ABL152" s="223"/>
      <c r="ABM152" s="223"/>
      <c r="ABN152" s="223"/>
      <c r="ABO152" s="223"/>
      <c r="ABP152" s="225"/>
      <c r="ABQ152" s="220"/>
      <c r="ABR152" s="221"/>
      <c r="ABS152" s="222"/>
      <c r="ABT152" s="222"/>
      <c r="ABU152" s="223"/>
      <c r="ABV152" s="223"/>
      <c r="ABW152" s="224"/>
      <c r="ABX152" s="223"/>
      <c r="ABY152" s="223"/>
      <c r="ABZ152" s="223"/>
      <c r="ACA152" s="223"/>
      <c r="ACB152" s="225"/>
      <c r="ACC152" s="220"/>
      <c r="ACD152" s="221"/>
      <c r="ACE152" s="222"/>
      <c r="ACF152" s="222"/>
      <c r="ACG152" s="223"/>
      <c r="ACH152" s="223"/>
      <c r="ACI152" s="224"/>
      <c r="ACJ152" s="223"/>
      <c r="ACK152" s="223"/>
      <c r="ACL152" s="223"/>
      <c r="ACM152" s="223"/>
      <c r="ACN152" s="225"/>
      <c r="ACO152" s="220"/>
      <c r="ACP152" s="221"/>
      <c r="ACQ152" s="222"/>
      <c r="ACR152" s="222"/>
      <c r="ACS152" s="223"/>
      <c r="ACT152" s="223"/>
      <c r="ACU152" s="224"/>
      <c r="ACV152" s="223"/>
      <c r="ACW152" s="223"/>
      <c r="ACX152" s="223"/>
      <c r="ACY152" s="223"/>
      <c r="ACZ152" s="225"/>
      <c r="ADA152" s="220"/>
      <c r="ADB152" s="221"/>
      <c r="ADC152" s="222"/>
      <c r="ADD152" s="222"/>
      <c r="ADE152" s="223"/>
      <c r="ADF152" s="223"/>
      <c r="ADG152" s="224"/>
      <c r="ADH152" s="223"/>
      <c r="ADI152" s="223"/>
      <c r="ADJ152" s="223"/>
      <c r="ADK152" s="223"/>
      <c r="ADL152" s="225"/>
      <c r="ADM152" s="220"/>
      <c r="ADN152" s="221"/>
      <c r="ADO152" s="222"/>
      <c r="ADP152" s="222"/>
      <c r="ADQ152" s="223"/>
      <c r="ADR152" s="223"/>
      <c r="ADS152" s="224"/>
      <c r="ADT152" s="223"/>
      <c r="ADU152" s="223"/>
      <c r="ADV152" s="223"/>
      <c r="ADW152" s="223"/>
      <c r="ADX152" s="225"/>
      <c r="ADY152" s="220"/>
      <c r="ADZ152" s="221"/>
      <c r="AEA152" s="222"/>
      <c r="AEB152" s="222"/>
      <c r="AEC152" s="223"/>
      <c r="AED152" s="223"/>
      <c r="AEE152" s="224"/>
      <c r="AEF152" s="223"/>
      <c r="AEG152" s="223"/>
      <c r="AEH152" s="223"/>
      <c r="AEI152" s="223"/>
      <c r="AEJ152" s="225"/>
      <c r="AEK152" s="220"/>
      <c r="AEL152" s="221"/>
      <c r="AEM152" s="222"/>
      <c r="AEN152" s="222"/>
      <c r="AEO152" s="223"/>
      <c r="AEP152" s="223"/>
      <c r="AEQ152" s="224"/>
      <c r="AER152" s="223"/>
      <c r="AES152" s="223"/>
      <c r="AET152" s="223"/>
      <c r="AEU152" s="223"/>
      <c r="AEV152" s="225"/>
      <c r="AEW152" s="220"/>
      <c r="AEX152" s="221"/>
      <c r="AEY152" s="222"/>
      <c r="AEZ152" s="222"/>
      <c r="AFA152" s="223"/>
      <c r="AFB152" s="223"/>
      <c r="AFC152" s="224"/>
      <c r="AFD152" s="223"/>
      <c r="AFE152" s="223"/>
      <c r="AFF152" s="223"/>
      <c r="AFG152" s="223"/>
      <c r="AFH152" s="225"/>
      <c r="AFI152" s="220"/>
      <c r="AFJ152" s="221"/>
      <c r="AFK152" s="222"/>
      <c r="AFL152" s="222"/>
      <c r="AFM152" s="223"/>
      <c r="AFN152" s="223"/>
      <c r="AFO152" s="224"/>
      <c r="AFP152" s="223"/>
      <c r="AFQ152" s="223"/>
      <c r="AFR152" s="223"/>
      <c r="AFS152" s="223"/>
      <c r="AFT152" s="225"/>
      <c r="AFU152" s="220"/>
      <c r="AFV152" s="221"/>
      <c r="AFW152" s="222"/>
      <c r="AFX152" s="222"/>
      <c r="AFY152" s="223"/>
      <c r="AFZ152" s="223"/>
      <c r="AGA152" s="224"/>
      <c r="AGB152" s="223"/>
      <c r="AGC152" s="223"/>
      <c r="AGD152" s="223"/>
      <c r="AGE152" s="223"/>
      <c r="AGF152" s="225"/>
      <c r="AGG152" s="220"/>
      <c r="AGH152" s="221"/>
      <c r="AGI152" s="222"/>
      <c r="AGJ152" s="222"/>
      <c r="AGK152" s="223"/>
      <c r="AGL152" s="223"/>
      <c r="AGM152" s="224"/>
      <c r="AGN152" s="223"/>
      <c r="AGO152" s="223"/>
      <c r="AGP152" s="223"/>
      <c r="AGQ152" s="223"/>
      <c r="AGR152" s="225"/>
      <c r="AGS152" s="220"/>
      <c r="AGT152" s="221"/>
      <c r="AGU152" s="222"/>
      <c r="AGV152" s="222"/>
      <c r="AGW152" s="223"/>
      <c r="AGX152" s="223"/>
      <c r="AGY152" s="224"/>
      <c r="AGZ152" s="223"/>
      <c r="AHA152" s="223"/>
      <c r="AHB152" s="223"/>
      <c r="AHC152" s="223"/>
      <c r="AHD152" s="225"/>
      <c r="AHE152" s="220"/>
      <c r="AHF152" s="221"/>
      <c r="AHG152" s="222"/>
      <c r="AHH152" s="222"/>
      <c r="AHI152" s="223"/>
      <c r="AHJ152" s="223"/>
      <c r="AHK152" s="224"/>
      <c r="AHL152" s="223"/>
      <c r="AHM152" s="223"/>
      <c r="AHN152" s="223"/>
      <c r="AHO152" s="223"/>
      <c r="AHP152" s="225"/>
      <c r="AHQ152" s="220"/>
      <c r="AHR152" s="221"/>
      <c r="AHS152" s="222"/>
      <c r="AHT152" s="222"/>
      <c r="AHU152" s="223"/>
      <c r="AHV152" s="223"/>
      <c r="AHW152" s="224"/>
      <c r="AHX152" s="223"/>
      <c r="AHY152" s="223"/>
      <c r="AHZ152" s="223"/>
      <c r="AIA152" s="223"/>
      <c r="AIB152" s="225"/>
      <c r="AIC152" s="220"/>
      <c r="AID152" s="221"/>
      <c r="AIE152" s="222"/>
      <c r="AIF152" s="222"/>
      <c r="AIG152" s="223"/>
      <c r="AIH152" s="223"/>
      <c r="AII152" s="224"/>
      <c r="AIJ152" s="223"/>
      <c r="AIK152" s="223"/>
      <c r="AIL152" s="223"/>
      <c r="AIM152" s="223"/>
      <c r="AIN152" s="225"/>
      <c r="AIO152" s="220"/>
      <c r="AIP152" s="221"/>
      <c r="AIQ152" s="222"/>
      <c r="AIR152" s="222"/>
      <c r="AIS152" s="223"/>
      <c r="AIT152" s="223"/>
      <c r="AIU152" s="224"/>
      <c r="AIV152" s="223"/>
      <c r="AIW152" s="223"/>
      <c r="AIX152" s="223"/>
      <c r="AIY152" s="223"/>
      <c r="AIZ152" s="225"/>
      <c r="AJA152" s="220"/>
      <c r="AJB152" s="221"/>
      <c r="AJC152" s="222"/>
      <c r="AJD152" s="222"/>
      <c r="AJE152" s="223"/>
      <c r="AJF152" s="223"/>
      <c r="AJG152" s="224"/>
      <c r="AJH152" s="223"/>
      <c r="AJI152" s="223"/>
      <c r="AJJ152" s="223"/>
      <c r="AJK152" s="223"/>
      <c r="AJL152" s="225"/>
      <c r="AJM152" s="220"/>
      <c r="AJN152" s="221"/>
      <c r="AJO152" s="222"/>
      <c r="AJP152" s="222"/>
      <c r="AJQ152" s="223"/>
      <c r="AJR152" s="223"/>
      <c r="AJS152" s="224"/>
      <c r="AJT152" s="223"/>
      <c r="AJU152" s="223"/>
      <c r="AJV152" s="223"/>
      <c r="AJW152" s="223"/>
      <c r="AJX152" s="225"/>
      <c r="AJY152" s="220"/>
      <c r="AJZ152" s="221"/>
      <c r="AKA152" s="222"/>
      <c r="AKB152" s="222"/>
      <c r="AKC152" s="223"/>
      <c r="AKD152" s="223"/>
      <c r="AKE152" s="224"/>
      <c r="AKF152" s="223"/>
      <c r="AKG152" s="223"/>
      <c r="AKH152" s="223"/>
      <c r="AKI152" s="223"/>
      <c r="AKJ152" s="225"/>
      <c r="AKK152" s="220"/>
      <c r="AKL152" s="221"/>
      <c r="AKM152" s="222"/>
      <c r="AKN152" s="222"/>
      <c r="AKO152" s="223"/>
      <c r="AKP152" s="223"/>
      <c r="AKQ152" s="224"/>
      <c r="AKR152" s="223"/>
      <c r="AKS152" s="223"/>
      <c r="AKT152" s="223"/>
      <c r="AKU152" s="223"/>
      <c r="AKV152" s="225"/>
      <c r="AKW152" s="220"/>
      <c r="AKX152" s="221"/>
      <c r="AKY152" s="222"/>
      <c r="AKZ152" s="222"/>
      <c r="ALA152" s="223"/>
      <c r="ALB152" s="223"/>
      <c r="ALC152" s="224"/>
      <c r="ALD152" s="223"/>
      <c r="ALE152" s="223"/>
      <c r="ALF152" s="223"/>
      <c r="ALG152" s="223"/>
      <c r="ALH152" s="225"/>
      <c r="ALI152" s="220"/>
      <c r="ALJ152" s="221"/>
      <c r="ALK152" s="222"/>
      <c r="ALL152" s="222"/>
      <c r="ALM152" s="223"/>
      <c r="ALN152" s="223"/>
      <c r="ALO152" s="224"/>
      <c r="ALP152" s="223"/>
      <c r="ALQ152" s="223"/>
      <c r="ALR152" s="223"/>
      <c r="ALS152" s="223"/>
      <c r="ALT152" s="225"/>
      <c r="ALU152" s="220"/>
      <c r="ALV152" s="221"/>
      <c r="ALW152" s="222"/>
      <c r="ALX152" s="222"/>
      <c r="ALY152" s="223"/>
      <c r="ALZ152" s="223"/>
      <c r="AMA152" s="224"/>
      <c r="AMB152" s="223"/>
      <c r="AMC152" s="223"/>
      <c r="AMD152" s="223"/>
      <c r="AME152" s="223"/>
      <c r="AMF152" s="225"/>
      <c r="AMG152" s="220"/>
      <c r="AMH152" s="221"/>
      <c r="AMI152" s="222"/>
      <c r="AMJ152" s="222"/>
      <c r="AMK152" s="223"/>
      <c r="AML152" s="223"/>
      <c r="AMM152" s="224"/>
      <c r="AMN152" s="223"/>
      <c r="AMO152" s="223"/>
      <c r="AMP152" s="223"/>
      <c r="AMQ152" s="223"/>
      <c r="AMR152" s="225"/>
      <c r="AMS152" s="220"/>
      <c r="AMT152" s="221"/>
      <c r="AMU152" s="222"/>
      <c r="AMV152" s="222"/>
      <c r="AMW152" s="223"/>
      <c r="AMX152" s="223"/>
      <c r="AMY152" s="224"/>
      <c r="AMZ152" s="223"/>
      <c r="ANA152" s="223"/>
      <c r="ANB152" s="223"/>
      <c r="ANC152" s="223"/>
      <c r="AND152" s="225"/>
      <c r="ANE152" s="220"/>
      <c r="ANF152" s="221"/>
      <c r="ANG152" s="222"/>
      <c r="ANH152" s="222"/>
      <c r="ANI152" s="223"/>
      <c r="ANJ152" s="223"/>
      <c r="ANK152" s="224"/>
      <c r="ANL152" s="223"/>
      <c r="ANM152" s="223"/>
      <c r="ANN152" s="223"/>
      <c r="ANO152" s="223"/>
      <c r="ANP152" s="225"/>
      <c r="ANQ152" s="220"/>
      <c r="ANR152" s="221"/>
      <c r="ANS152" s="222"/>
      <c r="ANT152" s="222"/>
      <c r="ANU152" s="223"/>
      <c r="ANV152" s="223"/>
      <c r="ANW152" s="224"/>
      <c r="ANX152" s="223"/>
      <c r="ANY152" s="223"/>
      <c r="ANZ152" s="223"/>
      <c r="AOA152" s="223"/>
      <c r="AOB152" s="225"/>
      <c r="AOC152" s="220"/>
      <c r="AOD152" s="221"/>
      <c r="AOE152" s="222"/>
      <c r="AOF152" s="222"/>
      <c r="AOG152" s="223"/>
      <c r="AOH152" s="223"/>
      <c r="AOI152" s="224"/>
      <c r="AOJ152" s="223"/>
      <c r="AOK152" s="223"/>
      <c r="AOL152" s="223"/>
      <c r="AOM152" s="223"/>
      <c r="AON152" s="225"/>
      <c r="AOO152" s="220"/>
      <c r="AOP152" s="221"/>
      <c r="AOQ152" s="222"/>
      <c r="AOR152" s="222"/>
      <c r="AOS152" s="223"/>
      <c r="AOT152" s="223"/>
      <c r="AOU152" s="224"/>
      <c r="AOV152" s="223"/>
      <c r="AOW152" s="223"/>
      <c r="AOX152" s="223"/>
      <c r="AOY152" s="223"/>
      <c r="AOZ152" s="225"/>
      <c r="APA152" s="220"/>
      <c r="APB152" s="221"/>
      <c r="APC152" s="222"/>
      <c r="APD152" s="222"/>
      <c r="APE152" s="223"/>
      <c r="APF152" s="223"/>
      <c r="APG152" s="224"/>
      <c r="APH152" s="223"/>
      <c r="API152" s="223"/>
      <c r="APJ152" s="223"/>
      <c r="APK152" s="223"/>
      <c r="APL152" s="225"/>
      <c r="APM152" s="220"/>
      <c r="APN152" s="221"/>
      <c r="APO152" s="222"/>
      <c r="APP152" s="222"/>
      <c r="APQ152" s="223"/>
      <c r="APR152" s="223"/>
      <c r="APS152" s="224"/>
      <c r="APT152" s="223"/>
      <c r="APU152" s="223"/>
      <c r="APV152" s="223"/>
      <c r="APW152" s="223"/>
      <c r="APX152" s="225"/>
      <c r="APY152" s="220"/>
      <c r="APZ152" s="221"/>
      <c r="AQA152" s="222"/>
      <c r="AQB152" s="222"/>
      <c r="AQC152" s="223"/>
      <c r="AQD152" s="223"/>
      <c r="AQE152" s="224"/>
      <c r="AQF152" s="223"/>
      <c r="AQG152" s="223"/>
      <c r="AQH152" s="223"/>
      <c r="AQI152" s="223"/>
      <c r="AQJ152" s="225"/>
      <c r="AQK152" s="220"/>
      <c r="AQL152" s="221"/>
      <c r="AQM152" s="222"/>
      <c r="AQN152" s="222"/>
      <c r="AQO152" s="223"/>
      <c r="AQP152" s="223"/>
      <c r="AQQ152" s="224"/>
      <c r="AQR152" s="223"/>
      <c r="AQS152" s="223"/>
      <c r="AQT152" s="223"/>
      <c r="AQU152" s="223"/>
      <c r="AQV152" s="225"/>
      <c r="AQW152" s="220"/>
      <c r="AQX152" s="221"/>
      <c r="AQY152" s="222"/>
      <c r="AQZ152" s="222"/>
      <c r="ARA152" s="223"/>
      <c r="ARB152" s="223"/>
      <c r="ARC152" s="224"/>
      <c r="ARD152" s="223"/>
      <c r="ARE152" s="223"/>
      <c r="ARF152" s="223"/>
      <c r="ARG152" s="223"/>
      <c r="ARH152" s="225"/>
      <c r="ARI152" s="220"/>
      <c r="ARJ152" s="221"/>
      <c r="ARK152" s="222"/>
      <c r="ARL152" s="222"/>
      <c r="ARM152" s="223"/>
      <c r="ARN152" s="223"/>
      <c r="ARO152" s="224"/>
      <c r="ARP152" s="223"/>
      <c r="ARQ152" s="223"/>
      <c r="ARR152" s="223"/>
      <c r="ARS152" s="223"/>
      <c r="ART152" s="225"/>
      <c r="ARU152" s="220"/>
      <c r="ARV152" s="221"/>
      <c r="ARW152" s="222"/>
      <c r="ARX152" s="222"/>
      <c r="ARY152" s="223"/>
      <c r="ARZ152" s="223"/>
      <c r="ASA152" s="224"/>
      <c r="ASB152" s="223"/>
      <c r="ASC152" s="223"/>
      <c r="ASD152" s="223"/>
      <c r="ASE152" s="223"/>
      <c r="ASF152" s="225"/>
      <c r="ASG152" s="220"/>
      <c r="ASH152" s="221"/>
      <c r="ASI152" s="222"/>
      <c r="ASJ152" s="222"/>
      <c r="ASK152" s="223"/>
      <c r="ASL152" s="223"/>
      <c r="ASM152" s="224"/>
      <c r="ASN152" s="223"/>
      <c r="ASO152" s="223"/>
      <c r="ASP152" s="223"/>
      <c r="ASQ152" s="223"/>
      <c r="ASR152" s="225"/>
      <c r="ASS152" s="220"/>
      <c r="AST152" s="221"/>
      <c r="ASU152" s="222"/>
      <c r="ASV152" s="222"/>
      <c r="ASW152" s="223"/>
      <c r="ASX152" s="223"/>
      <c r="ASY152" s="224"/>
      <c r="ASZ152" s="223"/>
      <c r="ATA152" s="223"/>
      <c r="ATB152" s="223"/>
      <c r="ATC152" s="223"/>
      <c r="ATD152" s="225"/>
      <c r="ATE152" s="220"/>
      <c r="ATF152" s="221"/>
      <c r="ATG152" s="222"/>
      <c r="ATH152" s="222"/>
      <c r="ATI152" s="223"/>
      <c r="ATJ152" s="223"/>
      <c r="ATK152" s="224"/>
      <c r="ATL152" s="223"/>
      <c r="ATM152" s="223"/>
      <c r="ATN152" s="223"/>
      <c r="ATO152" s="223"/>
      <c r="ATP152" s="225"/>
      <c r="ATQ152" s="220"/>
      <c r="ATR152" s="221"/>
      <c r="ATS152" s="222"/>
      <c r="ATT152" s="222"/>
      <c r="ATU152" s="223"/>
      <c r="ATV152" s="223"/>
      <c r="ATW152" s="224"/>
      <c r="ATX152" s="223"/>
      <c r="ATY152" s="223"/>
      <c r="ATZ152" s="223"/>
      <c r="AUA152" s="223"/>
      <c r="AUB152" s="225"/>
      <c r="AUC152" s="220"/>
      <c r="AUD152" s="221"/>
      <c r="AUE152" s="222"/>
      <c r="AUF152" s="222"/>
      <c r="AUG152" s="223"/>
      <c r="AUH152" s="223"/>
      <c r="AUI152" s="224"/>
      <c r="AUJ152" s="223"/>
      <c r="AUK152" s="223"/>
      <c r="AUL152" s="223"/>
      <c r="AUM152" s="223"/>
      <c r="AUN152" s="225"/>
      <c r="AUO152" s="220"/>
      <c r="AUP152" s="221"/>
      <c r="AUQ152" s="222"/>
      <c r="AUR152" s="222"/>
      <c r="AUS152" s="223"/>
      <c r="AUT152" s="223"/>
      <c r="AUU152" s="224"/>
      <c r="AUV152" s="223"/>
      <c r="AUW152" s="223"/>
      <c r="AUX152" s="223"/>
      <c r="AUY152" s="223"/>
      <c r="AUZ152" s="225"/>
      <c r="AVA152" s="220"/>
      <c r="AVB152" s="221"/>
      <c r="AVC152" s="222"/>
      <c r="AVD152" s="222"/>
      <c r="AVE152" s="223"/>
      <c r="AVF152" s="223"/>
      <c r="AVG152" s="224"/>
      <c r="AVH152" s="223"/>
      <c r="AVI152" s="223"/>
      <c r="AVJ152" s="223"/>
      <c r="AVK152" s="223"/>
      <c r="AVL152" s="225"/>
      <c r="AVM152" s="220"/>
      <c r="AVN152" s="221"/>
      <c r="AVO152" s="222"/>
      <c r="AVP152" s="222"/>
      <c r="AVQ152" s="223"/>
      <c r="AVR152" s="223"/>
      <c r="AVS152" s="224"/>
      <c r="AVT152" s="223"/>
      <c r="AVU152" s="223"/>
      <c r="AVV152" s="223"/>
      <c r="AVW152" s="223"/>
      <c r="AVX152" s="225"/>
      <c r="AVY152" s="220"/>
      <c r="AVZ152" s="221"/>
      <c r="AWA152" s="222"/>
      <c r="AWB152" s="222"/>
      <c r="AWC152" s="223"/>
      <c r="AWD152" s="223"/>
      <c r="AWE152" s="224"/>
      <c r="AWF152" s="223"/>
      <c r="AWG152" s="223"/>
      <c r="AWH152" s="223"/>
      <c r="AWI152" s="223"/>
      <c r="AWJ152" s="225"/>
      <c r="AWK152" s="220"/>
      <c r="AWL152" s="221"/>
      <c r="AWM152" s="222"/>
      <c r="AWN152" s="222"/>
      <c r="AWO152" s="223"/>
      <c r="AWP152" s="223"/>
      <c r="AWQ152" s="224"/>
      <c r="AWR152" s="223"/>
      <c r="AWS152" s="223"/>
      <c r="AWT152" s="223"/>
      <c r="AWU152" s="223"/>
      <c r="AWV152" s="225"/>
      <c r="AWW152" s="220"/>
      <c r="AWX152" s="221"/>
      <c r="AWY152" s="222"/>
      <c r="AWZ152" s="222"/>
      <c r="AXA152" s="223"/>
      <c r="AXB152" s="223"/>
      <c r="AXC152" s="224"/>
      <c r="AXD152" s="223"/>
      <c r="AXE152" s="223"/>
      <c r="AXF152" s="223"/>
      <c r="AXG152" s="223"/>
      <c r="AXH152" s="225"/>
      <c r="AXI152" s="220"/>
      <c r="AXJ152" s="221"/>
      <c r="AXK152" s="222"/>
      <c r="AXL152" s="222"/>
      <c r="AXM152" s="223"/>
      <c r="AXN152" s="223"/>
      <c r="AXO152" s="224"/>
      <c r="AXP152" s="223"/>
      <c r="AXQ152" s="223"/>
      <c r="AXR152" s="223"/>
      <c r="AXS152" s="223"/>
      <c r="AXT152" s="225"/>
      <c r="AXU152" s="220"/>
      <c r="AXV152" s="221"/>
      <c r="AXW152" s="222"/>
      <c r="AXX152" s="222"/>
      <c r="AXY152" s="223"/>
      <c r="AXZ152" s="223"/>
      <c r="AYA152" s="224"/>
      <c r="AYB152" s="223"/>
      <c r="AYC152" s="223"/>
      <c r="AYD152" s="223"/>
      <c r="AYE152" s="223"/>
      <c r="AYF152" s="225"/>
      <c r="AYG152" s="220"/>
      <c r="AYH152" s="221"/>
      <c r="AYI152" s="222"/>
      <c r="AYJ152" s="222"/>
      <c r="AYK152" s="223"/>
      <c r="AYL152" s="223"/>
      <c r="AYM152" s="224"/>
      <c r="AYN152" s="223"/>
      <c r="AYO152" s="223"/>
      <c r="AYP152" s="223"/>
      <c r="AYQ152" s="223"/>
      <c r="AYR152" s="225"/>
      <c r="AYS152" s="220"/>
      <c r="AYT152" s="221"/>
      <c r="AYU152" s="222"/>
      <c r="AYV152" s="222"/>
      <c r="AYW152" s="223"/>
      <c r="AYX152" s="223"/>
      <c r="AYY152" s="224"/>
      <c r="AYZ152" s="223"/>
      <c r="AZA152" s="223"/>
      <c r="AZB152" s="223"/>
      <c r="AZC152" s="223"/>
      <c r="AZD152" s="225"/>
      <c r="AZE152" s="220"/>
      <c r="AZF152" s="221"/>
      <c r="AZG152" s="222"/>
      <c r="AZH152" s="222"/>
      <c r="AZI152" s="223"/>
      <c r="AZJ152" s="223"/>
      <c r="AZK152" s="224"/>
      <c r="AZL152" s="223"/>
      <c r="AZM152" s="223"/>
      <c r="AZN152" s="223"/>
      <c r="AZO152" s="223"/>
      <c r="AZP152" s="225"/>
      <c r="AZQ152" s="220"/>
      <c r="AZR152" s="221"/>
      <c r="AZS152" s="222"/>
      <c r="AZT152" s="222"/>
      <c r="AZU152" s="223"/>
      <c r="AZV152" s="223"/>
      <c r="AZW152" s="224"/>
      <c r="AZX152" s="223"/>
      <c r="AZY152" s="223"/>
      <c r="AZZ152" s="223"/>
      <c r="BAA152" s="223"/>
      <c r="BAB152" s="225"/>
      <c r="BAC152" s="220"/>
      <c r="BAD152" s="221"/>
      <c r="BAE152" s="222"/>
      <c r="BAF152" s="222"/>
      <c r="BAG152" s="223"/>
      <c r="BAH152" s="223"/>
      <c r="BAI152" s="224"/>
      <c r="BAJ152" s="223"/>
      <c r="BAK152" s="223"/>
      <c r="BAL152" s="223"/>
      <c r="BAM152" s="223"/>
      <c r="BAN152" s="225"/>
      <c r="BAO152" s="220"/>
      <c r="BAP152" s="221"/>
      <c r="BAQ152" s="222"/>
      <c r="BAR152" s="222"/>
      <c r="BAS152" s="223"/>
      <c r="BAT152" s="223"/>
      <c r="BAU152" s="224"/>
      <c r="BAV152" s="223"/>
      <c r="BAW152" s="223"/>
      <c r="BAX152" s="223"/>
      <c r="BAY152" s="223"/>
      <c r="BAZ152" s="225"/>
      <c r="BBA152" s="220"/>
      <c r="BBB152" s="221"/>
      <c r="BBC152" s="222"/>
      <c r="BBD152" s="222"/>
      <c r="BBE152" s="223"/>
      <c r="BBF152" s="223"/>
      <c r="BBG152" s="224"/>
      <c r="BBH152" s="223"/>
      <c r="BBI152" s="223"/>
      <c r="BBJ152" s="223"/>
      <c r="BBK152" s="223"/>
      <c r="BBL152" s="225"/>
      <c r="BBM152" s="220"/>
      <c r="BBN152" s="221"/>
      <c r="BBO152" s="222"/>
      <c r="BBP152" s="222"/>
      <c r="BBQ152" s="223"/>
      <c r="BBR152" s="223"/>
      <c r="BBS152" s="224"/>
      <c r="BBT152" s="223"/>
      <c r="BBU152" s="223"/>
      <c r="BBV152" s="223"/>
      <c r="BBW152" s="223"/>
      <c r="BBX152" s="225"/>
      <c r="BBY152" s="220"/>
      <c r="BBZ152" s="221"/>
      <c r="BCA152" s="222"/>
      <c r="BCB152" s="222"/>
      <c r="BCC152" s="223"/>
      <c r="BCD152" s="223"/>
      <c r="BCE152" s="224"/>
      <c r="BCF152" s="223"/>
      <c r="BCG152" s="223"/>
      <c r="BCH152" s="223"/>
      <c r="BCI152" s="223"/>
      <c r="BCJ152" s="225"/>
      <c r="BCK152" s="220"/>
      <c r="BCL152" s="221"/>
      <c r="BCM152" s="222"/>
      <c r="BCN152" s="222"/>
      <c r="BCO152" s="223"/>
      <c r="BCP152" s="223"/>
      <c r="BCQ152" s="224"/>
      <c r="BCR152" s="223"/>
      <c r="BCS152" s="223"/>
      <c r="BCT152" s="223"/>
      <c r="BCU152" s="223"/>
      <c r="BCV152" s="225"/>
      <c r="BCW152" s="220"/>
      <c r="BCX152" s="221"/>
      <c r="BCY152" s="222"/>
      <c r="BCZ152" s="222"/>
      <c r="BDA152" s="223"/>
      <c r="BDB152" s="223"/>
      <c r="BDC152" s="224"/>
      <c r="BDD152" s="223"/>
      <c r="BDE152" s="223"/>
      <c r="BDF152" s="223"/>
      <c r="BDG152" s="223"/>
      <c r="BDH152" s="225"/>
      <c r="BDI152" s="220"/>
      <c r="BDJ152" s="221"/>
      <c r="BDK152" s="222"/>
      <c r="BDL152" s="222"/>
      <c r="BDM152" s="223"/>
      <c r="BDN152" s="223"/>
      <c r="BDO152" s="224"/>
      <c r="BDP152" s="223"/>
      <c r="BDQ152" s="223"/>
      <c r="BDR152" s="223"/>
      <c r="BDS152" s="223"/>
      <c r="BDT152" s="225"/>
      <c r="BDU152" s="220"/>
      <c r="BDV152" s="221"/>
      <c r="BDW152" s="222"/>
      <c r="BDX152" s="222"/>
      <c r="BDY152" s="223"/>
      <c r="BDZ152" s="223"/>
      <c r="BEA152" s="224"/>
      <c r="BEB152" s="223"/>
      <c r="BEC152" s="223"/>
      <c r="BED152" s="223"/>
      <c r="BEE152" s="223"/>
      <c r="BEF152" s="225"/>
      <c r="BEG152" s="220"/>
      <c r="BEH152" s="221"/>
      <c r="BEI152" s="222"/>
      <c r="BEJ152" s="222"/>
      <c r="BEK152" s="223"/>
      <c r="BEL152" s="223"/>
      <c r="BEM152" s="224"/>
      <c r="BEN152" s="223"/>
      <c r="BEO152" s="223"/>
      <c r="BEP152" s="223"/>
      <c r="BEQ152" s="223"/>
      <c r="BER152" s="225"/>
      <c r="BES152" s="220"/>
      <c r="BET152" s="221"/>
      <c r="BEU152" s="222"/>
      <c r="BEV152" s="222"/>
      <c r="BEW152" s="223"/>
      <c r="BEX152" s="223"/>
      <c r="BEY152" s="224"/>
      <c r="BEZ152" s="223"/>
      <c r="BFA152" s="223"/>
      <c r="BFB152" s="223"/>
      <c r="BFC152" s="223"/>
      <c r="BFD152" s="225"/>
      <c r="BFE152" s="220"/>
      <c r="BFF152" s="221"/>
      <c r="BFG152" s="222"/>
      <c r="BFH152" s="222"/>
      <c r="BFI152" s="223"/>
      <c r="BFJ152" s="223"/>
      <c r="BFK152" s="224"/>
      <c r="BFL152" s="223"/>
      <c r="BFM152" s="223"/>
      <c r="BFN152" s="223"/>
      <c r="BFO152" s="223"/>
      <c r="BFP152" s="225"/>
      <c r="BFQ152" s="220"/>
      <c r="BFR152" s="221"/>
      <c r="BFS152" s="222"/>
      <c r="BFT152" s="222"/>
      <c r="BFU152" s="223"/>
      <c r="BFV152" s="223"/>
      <c r="BFW152" s="224"/>
      <c r="BFX152" s="223"/>
      <c r="BFY152" s="223"/>
      <c r="BFZ152" s="223"/>
      <c r="BGA152" s="223"/>
      <c r="BGB152" s="225"/>
      <c r="BGC152" s="220"/>
      <c r="BGD152" s="221"/>
      <c r="BGE152" s="222"/>
      <c r="BGF152" s="222"/>
      <c r="BGG152" s="223"/>
      <c r="BGH152" s="223"/>
      <c r="BGI152" s="224"/>
      <c r="BGJ152" s="223"/>
      <c r="BGK152" s="223"/>
      <c r="BGL152" s="223"/>
      <c r="BGM152" s="223"/>
      <c r="BGN152" s="225"/>
      <c r="BGO152" s="220"/>
      <c r="BGP152" s="221"/>
      <c r="BGQ152" s="222"/>
      <c r="BGR152" s="222"/>
      <c r="BGS152" s="223"/>
      <c r="BGT152" s="223"/>
      <c r="BGU152" s="224"/>
      <c r="BGV152" s="223"/>
      <c r="BGW152" s="223"/>
      <c r="BGX152" s="223"/>
      <c r="BGY152" s="223"/>
      <c r="BGZ152" s="225"/>
      <c r="BHA152" s="220"/>
      <c r="BHB152" s="221"/>
      <c r="BHC152" s="222"/>
      <c r="BHD152" s="222"/>
      <c r="BHE152" s="223"/>
      <c r="BHF152" s="223"/>
      <c r="BHG152" s="224"/>
      <c r="BHH152" s="223"/>
      <c r="BHI152" s="223"/>
      <c r="BHJ152" s="223"/>
      <c r="BHK152" s="223"/>
      <c r="BHL152" s="225"/>
      <c r="BHM152" s="220"/>
      <c r="BHN152" s="221"/>
      <c r="BHO152" s="222"/>
      <c r="BHP152" s="222"/>
      <c r="BHQ152" s="223"/>
      <c r="BHR152" s="223"/>
      <c r="BHS152" s="224"/>
      <c r="BHT152" s="223"/>
      <c r="BHU152" s="223"/>
      <c r="BHV152" s="223"/>
      <c r="BHW152" s="223"/>
      <c r="BHX152" s="225"/>
      <c r="BHY152" s="220"/>
      <c r="BHZ152" s="221"/>
      <c r="BIA152" s="222"/>
      <c r="BIB152" s="222"/>
      <c r="BIC152" s="223"/>
      <c r="BID152" s="223"/>
      <c r="BIE152" s="224"/>
      <c r="BIF152" s="223"/>
      <c r="BIG152" s="223"/>
      <c r="BIH152" s="223"/>
      <c r="BII152" s="223"/>
      <c r="BIJ152" s="225"/>
      <c r="BIK152" s="220"/>
      <c r="BIL152" s="221"/>
      <c r="BIM152" s="222"/>
      <c r="BIN152" s="222"/>
      <c r="BIO152" s="223"/>
      <c r="BIP152" s="223"/>
      <c r="BIQ152" s="224"/>
      <c r="BIR152" s="223"/>
      <c r="BIS152" s="223"/>
      <c r="BIT152" s="223"/>
      <c r="BIU152" s="223"/>
      <c r="BIV152" s="225"/>
      <c r="BIW152" s="220"/>
      <c r="BIX152" s="221"/>
      <c r="BIY152" s="222"/>
      <c r="BIZ152" s="222"/>
      <c r="BJA152" s="223"/>
      <c r="BJB152" s="223"/>
      <c r="BJC152" s="224"/>
      <c r="BJD152" s="223"/>
      <c r="BJE152" s="223"/>
      <c r="BJF152" s="223"/>
      <c r="BJG152" s="223"/>
      <c r="BJH152" s="225"/>
      <c r="BJI152" s="220"/>
      <c r="BJJ152" s="221"/>
      <c r="BJK152" s="222"/>
      <c r="BJL152" s="222"/>
      <c r="BJM152" s="223"/>
      <c r="BJN152" s="223"/>
      <c r="BJO152" s="224"/>
      <c r="BJP152" s="223"/>
      <c r="BJQ152" s="223"/>
      <c r="BJR152" s="223"/>
      <c r="BJS152" s="223"/>
      <c r="BJT152" s="225"/>
      <c r="BJU152" s="220"/>
      <c r="BJV152" s="221"/>
      <c r="BJW152" s="222"/>
      <c r="BJX152" s="222"/>
      <c r="BJY152" s="223"/>
      <c r="BJZ152" s="223"/>
      <c r="BKA152" s="224"/>
      <c r="BKB152" s="223"/>
      <c r="BKC152" s="223"/>
      <c r="BKD152" s="223"/>
      <c r="BKE152" s="223"/>
      <c r="BKF152" s="225"/>
      <c r="BKG152" s="220"/>
      <c r="BKH152" s="221"/>
      <c r="BKI152" s="222"/>
      <c r="BKJ152" s="222"/>
      <c r="BKK152" s="223"/>
      <c r="BKL152" s="223"/>
      <c r="BKM152" s="224"/>
      <c r="BKN152" s="223"/>
      <c r="BKO152" s="223"/>
      <c r="BKP152" s="223"/>
      <c r="BKQ152" s="223"/>
      <c r="BKR152" s="225"/>
      <c r="BKS152" s="220"/>
      <c r="BKT152" s="221"/>
      <c r="BKU152" s="222"/>
      <c r="BKV152" s="222"/>
      <c r="BKW152" s="223"/>
      <c r="BKX152" s="223"/>
      <c r="BKY152" s="224"/>
      <c r="BKZ152" s="223"/>
      <c r="BLA152" s="223"/>
      <c r="BLB152" s="223"/>
      <c r="BLC152" s="223"/>
      <c r="BLD152" s="225"/>
      <c r="BLE152" s="220"/>
      <c r="BLF152" s="221"/>
      <c r="BLG152" s="222"/>
      <c r="BLH152" s="222"/>
      <c r="BLI152" s="223"/>
      <c r="BLJ152" s="223"/>
      <c r="BLK152" s="224"/>
      <c r="BLL152" s="223"/>
      <c r="BLM152" s="223"/>
      <c r="BLN152" s="223"/>
      <c r="BLO152" s="223"/>
      <c r="BLP152" s="225"/>
      <c r="BLQ152" s="220"/>
      <c r="BLR152" s="221"/>
      <c r="BLS152" s="222"/>
      <c r="BLT152" s="222"/>
      <c r="BLU152" s="223"/>
      <c r="BLV152" s="223"/>
      <c r="BLW152" s="224"/>
      <c r="BLX152" s="223"/>
      <c r="BLY152" s="223"/>
      <c r="BLZ152" s="223"/>
      <c r="BMA152" s="223"/>
      <c r="BMB152" s="225"/>
      <c r="BMC152" s="220"/>
      <c r="BMD152" s="221"/>
      <c r="BME152" s="222"/>
      <c r="BMF152" s="222"/>
      <c r="BMG152" s="223"/>
      <c r="BMH152" s="223"/>
      <c r="BMI152" s="224"/>
      <c r="BMJ152" s="223"/>
      <c r="BMK152" s="223"/>
      <c r="BML152" s="223"/>
      <c r="BMM152" s="223"/>
      <c r="BMN152" s="225"/>
      <c r="BMO152" s="220"/>
      <c r="BMP152" s="221"/>
      <c r="BMQ152" s="222"/>
      <c r="BMR152" s="222"/>
      <c r="BMS152" s="223"/>
      <c r="BMT152" s="223"/>
      <c r="BMU152" s="224"/>
      <c r="BMV152" s="223"/>
      <c r="BMW152" s="223"/>
      <c r="BMX152" s="223"/>
      <c r="BMY152" s="223"/>
      <c r="BMZ152" s="225"/>
      <c r="BNA152" s="220"/>
      <c r="BNB152" s="221"/>
      <c r="BNC152" s="222"/>
      <c r="BND152" s="222"/>
      <c r="BNE152" s="223"/>
      <c r="BNF152" s="223"/>
      <c r="BNG152" s="224"/>
      <c r="BNH152" s="223"/>
      <c r="BNI152" s="223"/>
      <c r="BNJ152" s="223"/>
      <c r="BNK152" s="223"/>
      <c r="BNL152" s="225"/>
      <c r="BNM152" s="220"/>
      <c r="BNN152" s="221"/>
      <c r="BNO152" s="222"/>
      <c r="BNP152" s="222"/>
      <c r="BNQ152" s="223"/>
      <c r="BNR152" s="223"/>
      <c r="BNS152" s="224"/>
      <c r="BNT152" s="223"/>
      <c r="BNU152" s="223"/>
      <c r="BNV152" s="223"/>
      <c r="BNW152" s="223"/>
      <c r="BNX152" s="225"/>
      <c r="BNY152" s="220"/>
      <c r="BNZ152" s="221"/>
      <c r="BOA152" s="222"/>
      <c r="BOB152" s="222"/>
      <c r="BOC152" s="223"/>
      <c r="BOD152" s="223"/>
      <c r="BOE152" s="224"/>
      <c r="BOF152" s="223"/>
      <c r="BOG152" s="223"/>
      <c r="BOH152" s="223"/>
      <c r="BOI152" s="223"/>
      <c r="BOJ152" s="225"/>
      <c r="BOK152" s="220"/>
      <c r="BOL152" s="221"/>
      <c r="BOM152" s="222"/>
      <c r="BON152" s="222"/>
      <c r="BOO152" s="223"/>
      <c r="BOP152" s="223"/>
      <c r="BOQ152" s="224"/>
      <c r="BOR152" s="223"/>
      <c r="BOS152" s="223"/>
      <c r="BOT152" s="223"/>
      <c r="BOU152" s="223"/>
      <c r="BOV152" s="225"/>
      <c r="BOW152" s="220"/>
      <c r="BOX152" s="221"/>
      <c r="BOY152" s="222"/>
      <c r="BOZ152" s="222"/>
      <c r="BPA152" s="223"/>
      <c r="BPB152" s="223"/>
      <c r="BPC152" s="224"/>
      <c r="BPD152" s="223"/>
      <c r="BPE152" s="223"/>
      <c r="BPF152" s="223"/>
      <c r="BPG152" s="223"/>
      <c r="BPH152" s="225"/>
      <c r="BPI152" s="220"/>
      <c r="BPJ152" s="221"/>
      <c r="BPK152" s="222"/>
      <c r="BPL152" s="222"/>
      <c r="BPM152" s="223"/>
      <c r="BPN152" s="223"/>
      <c r="BPO152" s="224"/>
      <c r="BPP152" s="223"/>
      <c r="BPQ152" s="223"/>
      <c r="BPR152" s="223"/>
      <c r="BPS152" s="223"/>
      <c r="BPT152" s="225"/>
      <c r="BPU152" s="220"/>
      <c r="BPV152" s="221"/>
      <c r="BPW152" s="222"/>
      <c r="BPX152" s="222"/>
      <c r="BPY152" s="223"/>
      <c r="BPZ152" s="223"/>
      <c r="BQA152" s="224"/>
      <c r="BQB152" s="223"/>
      <c r="BQC152" s="223"/>
      <c r="BQD152" s="223"/>
      <c r="BQE152" s="223"/>
      <c r="BQF152" s="225"/>
      <c r="BQG152" s="220"/>
      <c r="BQH152" s="221"/>
      <c r="BQI152" s="222"/>
      <c r="BQJ152" s="222"/>
      <c r="BQK152" s="223"/>
      <c r="BQL152" s="223"/>
      <c r="BQM152" s="224"/>
      <c r="BQN152" s="223"/>
      <c r="BQO152" s="223"/>
      <c r="BQP152" s="223"/>
      <c r="BQQ152" s="223"/>
      <c r="BQR152" s="225"/>
      <c r="BQS152" s="220"/>
      <c r="BQT152" s="221"/>
      <c r="BQU152" s="222"/>
      <c r="BQV152" s="222"/>
      <c r="BQW152" s="223"/>
      <c r="BQX152" s="223"/>
      <c r="BQY152" s="224"/>
      <c r="BQZ152" s="223"/>
      <c r="BRA152" s="223"/>
      <c r="BRB152" s="223"/>
      <c r="BRC152" s="223"/>
      <c r="BRD152" s="225"/>
      <c r="BRE152" s="220"/>
      <c r="BRF152" s="221"/>
      <c r="BRG152" s="222"/>
      <c r="BRH152" s="222"/>
      <c r="BRI152" s="223"/>
      <c r="BRJ152" s="223"/>
      <c r="BRK152" s="224"/>
      <c r="BRL152" s="223"/>
      <c r="BRM152" s="223"/>
      <c r="BRN152" s="223"/>
      <c r="BRO152" s="223"/>
      <c r="BRP152" s="225"/>
      <c r="BRQ152" s="220"/>
      <c r="BRR152" s="221"/>
      <c r="BRS152" s="222"/>
      <c r="BRT152" s="222"/>
      <c r="BRU152" s="223"/>
      <c r="BRV152" s="223"/>
      <c r="BRW152" s="224"/>
      <c r="BRX152" s="223"/>
      <c r="BRY152" s="223"/>
      <c r="BRZ152" s="223"/>
      <c r="BSA152" s="223"/>
      <c r="BSB152" s="225"/>
      <c r="BSC152" s="220"/>
      <c r="BSD152" s="221"/>
      <c r="BSE152" s="222"/>
      <c r="BSF152" s="222"/>
      <c r="BSG152" s="223"/>
      <c r="BSH152" s="223"/>
      <c r="BSI152" s="224"/>
      <c r="BSJ152" s="223"/>
      <c r="BSK152" s="223"/>
      <c r="BSL152" s="223"/>
      <c r="BSM152" s="223"/>
      <c r="BSN152" s="225"/>
      <c r="BSO152" s="220"/>
      <c r="BSP152" s="221"/>
      <c r="BSQ152" s="222"/>
      <c r="BSR152" s="222"/>
      <c r="BSS152" s="223"/>
      <c r="BST152" s="223"/>
      <c r="BSU152" s="224"/>
      <c r="BSV152" s="223"/>
      <c r="BSW152" s="223"/>
      <c r="BSX152" s="223"/>
      <c r="BSY152" s="223"/>
      <c r="BSZ152" s="225"/>
      <c r="BTA152" s="220"/>
      <c r="BTB152" s="221"/>
      <c r="BTC152" s="222"/>
      <c r="BTD152" s="222"/>
      <c r="BTE152" s="223"/>
      <c r="BTF152" s="223"/>
      <c r="BTG152" s="224"/>
      <c r="BTH152" s="223"/>
      <c r="BTI152" s="223"/>
      <c r="BTJ152" s="223"/>
      <c r="BTK152" s="223"/>
      <c r="BTL152" s="225"/>
      <c r="BTM152" s="220"/>
      <c r="BTN152" s="221"/>
      <c r="BTO152" s="222"/>
      <c r="BTP152" s="222"/>
      <c r="BTQ152" s="223"/>
      <c r="BTR152" s="223"/>
      <c r="BTS152" s="224"/>
      <c r="BTT152" s="223"/>
      <c r="BTU152" s="223"/>
      <c r="BTV152" s="223"/>
      <c r="BTW152" s="223"/>
      <c r="BTX152" s="225"/>
      <c r="BTY152" s="220"/>
      <c r="BTZ152" s="221"/>
      <c r="BUA152" s="222"/>
      <c r="BUB152" s="222"/>
      <c r="BUC152" s="223"/>
      <c r="BUD152" s="223"/>
      <c r="BUE152" s="224"/>
      <c r="BUF152" s="223"/>
      <c r="BUG152" s="223"/>
      <c r="BUH152" s="223"/>
      <c r="BUI152" s="223"/>
      <c r="BUJ152" s="225"/>
      <c r="BUK152" s="220"/>
      <c r="BUL152" s="221"/>
      <c r="BUM152" s="222"/>
      <c r="BUN152" s="222"/>
      <c r="BUO152" s="223"/>
      <c r="BUP152" s="223"/>
      <c r="BUQ152" s="224"/>
      <c r="BUR152" s="223"/>
      <c r="BUS152" s="223"/>
      <c r="BUT152" s="223"/>
      <c r="BUU152" s="223"/>
      <c r="BUV152" s="225"/>
      <c r="BUW152" s="220"/>
      <c r="BUX152" s="221"/>
      <c r="BUY152" s="222"/>
      <c r="BUZ152" s="222"/>
      <c r="BVA152" s="223"/>
      <c r="BVB152" s="223"/>
      <c r="BVC152" s="224"/>
      <c r="BVD152" s="223"/>
      <c r="BVE152" s="223"/>
      <c r="BVF152" s="223"/>
      <c r="BVG152" s="223"/>
      <c r="BVH152" s="225"/>
      <c r="BVI152" s="220"/>
      <c r="BVJ152" s="221"/>
      <c r="BVK152" s="222"/>
      <c r="BVL152" s="222"/>
      <c r="BVM152" s="223"/>
      <c r="BVN152" s="223"/>
      <c r="BVO152" s="224"/>
      <c r="BVP152" s="223"/>
      <c r="BVQ152" s="223"/>
      <c r="BVR152" s="223"/>
      <c r="BVS152" s="223"/>
      <c r="BVT152" s="225"/>
      <c r="BVU152" s="220"/>
      <c r="BVV152" s="221"/>
      <c r="BVW152" s="222"/>
      <c r="BVX152" s="222"/>
      <c r="BVY152" s="223"/>
      <c r="BVZ152" s="223"/>
      <c r="BWA152" s="224"/>
      <c r="BWB152" s="223"/>
      <c r="BWC152" s="223"/>
      <c r="BWD152" s="223"/>
      <c r="BWE152" s="223"/>
      <c r="BWF152" s="225"/>
      <c r="BWG152" s="220"/>
      <c r="BWH152" s="221"/>
      <c r="BWI152" s="222"/>
      <c r="BWJ152" s="222"/>
      <c r="BWK152" s="223"/>
      <c r="BWL152" s="223"/>
      <c r="BWM152" s="224"/>
      <c r="BWN152" s="223"/>
      <c r="BWO152" s="223"/>
      <c r="BWP152" s="223"/>
      <c r="BWQ152" s="223"/>
      <c r="BWR152" s="225"/>
      <c r="BWS152" s="220"/>
      <c r="BWT152" s="221"/>
      <c r="BWU152" s="222"/>
      <c r="BWV152" s="222"/>
      <c r="BWW152" s="223"/>
      <c r="BWX152" s="223"/>
      <c r="BWY152" s="224"/>
      <c r="BWZ152" s="223"/>
      <c r="BXA152" s="223"/>
      <c r="BXB152" s="223"/>
      <c r="BXC152" s="223"/>
      <c r="BXD152" s="225"/>
      <c r="BXE152" s="220"/>
      <c r="BXF152" s="221"/>
      <c r="BXG152" s="222"/>
      <c r="BXH152" s="222"/>
      <c r="BXI152" s="223"/>
      <c r="BXJ152" s="223"/>
      <c r="BXK152" s="224"/>
      <c r="BXL152" s="223"/>
      <c r="BXM152" s="223"/>
      <c r="BXN152" s="223"/>
      <c r="BXO152" s="223"/>
      <c r="BXP152" s="225"/>
      <c r="BXQ152" s="220"/>
      <c r="BXR152" s="221"/>
      <c r="BXS152" s="222"/>
      <c r="BXT152" s="222"/>
      <c r="BXU152" s="223"/>
      <c r="BXV152" s="223"/>
      <c r="BXW152" s="224"/>
      <c r="BXX152" s="223"/>
      <c r="BXY152" s="223"/>
      <c r="BXZ152" s="223"/>
      <c r="BYA152" s="223"/>
      <c r="BYB152" s="225"/>
      <c r="BYC152" s="220"/>
      <c r="BYD152" s="221"/>
      <c r="BYE152" s="222"/>
      <c r="BYF152" s="222"/>
      <c r="BYG152" s="223"/>
      <c r="BYH152" s="223"/>
      <c r="BYI152" s="224"/>
      <c r="BYJ152" s="223"/>
      <c r="BYK152" s="223"/>
      <c r="BYL152" s="223"/>
      <c r="BYM152" s="223"/>
      <c r="BYN152" s="225"/>
      <c r="BYO152" s="220"/>
      <c r="BYP152" s="221"/>
      <c r="BYQ152" s="222"/>
      <c r="BYR152" s="222"/>
      <c r="BYS152" s="223"/>
      <c r="BYT152" s="223"/>
      <c r="BYU152" s="224"/>
      <c r="BYV152" s="223"/>
      <c r="BYW152" s="223"/>
      <c r="BYX152" s="223"/>
      <c r="BYY152" s="223"/>
      <c r="BYZ152" s="225"/>
      <c r="BZA152" s="220"/>
      <c r="BZB152" s="221"/>
      <c r="BZC152" s="222"/>
      <c r="BZD152" s="222"/>
      <c r="BZE152" s="223"/>
      <c r="BZF152" s="223"/>
      <c r="BZG152" s="224"/>
      <c r="BZH152" s="223"/>
      <c r="BZI152" s="223"/>
      <c r="BZJ152" s="223"/>
      <c r="BZK152" s="223"/>
      <c r="BZL152" s="225"/>
      <c r="BZM152" s="220"/>
      <c r="BZN152" s="221"/>
      <c r="BZO152" s="222"/>
      <c r="BZP152" s="222"/>
      <c r="BZQ152" s="223"/>
      <c r="BZR152" s="223"/>
      <c r="BZS152" s="224"/>
      <c r="BZT152" s="223"/>
      <c r="BZU152" s="223"/>
      <c r="BZV152" s="223"/>
      <c r="BZW152" s="223"/>
      <c r="BZX152" s="225"/>
      <c r="BZY152" s="220"/>
      <c r="BZZ152" s="221"/>
      <c r="CAA152" s="222"/>
      <c r="CAB152" s="222"/>
      <c r="CAC152" s="223"/>
      <c r="CAD152" s="223"/>
      <c r="CAE152" s="224"/>
      <c r="CAF152" s="223"/>
      <c r="CAG152" s="223"/>
      <c r="CAH152" s="223"/>
      <c r="CAI152" s="223"/>
      <c r="CAJ152" s="225"/>
      <c r="CAK152" s="220"/>
      <c r="CAL152" s="221"/>
      <c r="CAM152" s="222"/>
      <c r="CAN152" s="222"/>
      <c r="CAO152" s="223"/>
      <c r="CAP152" s="223"/>
      <c r="CAQ152" s="224"/>
      <c r="CAR152" s="223"/>
      <c r="CAS152" s="223"/>
      <c r="CAT152" s="223"/>
      <c r="CAU152" s="223"/>
      <c r="CAV152" s="225"/>
      <c r="CAW152" s="220"/>
      <c r="CAX152" s="221"/>
      <c r="CAY152" s="222"/>
      <c r="CAZ152" s="222"/>
      <c r="CBA152" s="223"/>
      <c r="CBB152" s="223"/>
      <c r="CBC152" s="224"/>
      <c r="CBD152" s="223"/>
      <c r="CBE152" s="223"/>
      <c r="CBF152" s="223"/>
      <c r="CBG152" s="223"/>
      <c r="CBH152" s="225"/>
      <c r="CBI152" s="220"/>
      <c r="CBJ152" s="221"/>
      <c r="CBK152" s="222"/>
      <c r="CBL152" s="222"/>
      <c r="CBM152" s="223"/>
      <c r="CBN152" s="223"/>
      <c r="CBO152" s="224"/>
      <c r="CBP152" s="223"/>
      <c r="CBQ152" s="223"/>
      <c r="CBR152" s="223"/>
      <c r="CBS152" s="223"/>
      <c r="CBT152" s="225"/>
      <c r="CBU152" s="220"/>
      <c r="CBV152" s="221"/>
      <c r="CBW152" s="222"/>
      <c r="CBX152" s="222"/>
      <c r="CBY152" s="223"/>
      <c r="CBZ152" s="223"/>
      <c r="CCA152" s="224"/>
      <c r="CCB152" s="223"/>
      <c r="CCC152" s="223"/>
      <c r="CCD152" s="223"/>
      <c r="CCE152" s="223"/>
      <c r="CCF152" s="225"/>
      <c r="CCG152" s="220"/>
      <c r="CCH152" s="221"/>
      <c r="CCI152" s="222"/>
      <c r="CCJ152" s="222"/>
      <c r="CCK152" s="223"/>
      <c r="CCL152" s="223"/>
      <c r="CCM152" s="224"/>
      <c r="CCN152" s="223"/>
      <c r="CCO152" s="223"/>
      <c r="CCP152" s="223"/>
      <c r="CCQ152" s="223"/>
      <c r="CCR152" s="225"/>
      <c r="CCS152" s="220"/>
      <c r="CCT152" s="221"/>
      <c r="CCU152" s="222"/>
      <c r="CCV152" s="222"/>
      <c r="CCW152" s="223"/>
      <c r="CCX152" s="223"/>
      <c r="CCY152" s="224"/>
      <c r="CCZ152" s="223"/>
      <c r="CDA152" s="223"/>
      <c r="CDB152" s="223"/>
      <c r="CDC152" s="223"/>
      <c r="CDD152" s="225"/>
      <c r="CDE152" s="220"/>
      <c r="CDF152" s="221"/>
      <c r="CDG152" s="222"/>
      <c r="CDH152" s="222"/>
      <c r="CDI152" s="223"/>
      <c r="CDJ152" s="223"/>
      <c r="CDK152" s="224"/>
      <c r="CDL152" s="223"/>
      <c r="CDM152" s="223"/>
      <c r="CDN152" s="223"/>
      <c r="CDO152" s="223"/>
      <c r="CDP152" s="225"/>
      <c r="CDQ152" s="220"/>
      <c r="CDR152" s="221"/>
      <c r="CDS152" s="222"/>
      <c r="CDT152" s="222"/>
      <c r="CDU152" s="223"/>
      <c r="CDV152" s="223"/>
      <c r="CDW152" s="224"/>
      <c r="CDX152" s="223"/>
      <c r="CDY152" s="223"/>
      <c r="CDZ152" s="223"/>
      <c r="CEA152" s="223"/>
      <c r="CEB152" s="225"/>
      <c r="CEC152" s="220"/>
      <c r="CED152" s="221"/>
      <c r="CEE152" s="222"/>
      <c r="CEF152" s="222"/>
      <c r="CEG152" s="223"/>
      <c r="CEH152" s="223"/>
      <c r="CEI152" s="224"/>
      <c r="CEJ152" s="223"/>
      <c r="CEK152" s="223"/>
      <c r="CEL152" s="223"/>
      <c r="CEM152" s="223"/>
      <c r="CEN152" s="225"/>
      <c r="CEO152" s="220"/>
      <c r="CEP152" s="221"/>
      <c r="CEQ152" s="222"/>
      <c r="CER152" s="222"/>
      <c r="CES152" s="223"/>
      <c r="CET152" s="223"/>
      <c r="CEU152" s="224"/>
      <c r="CEV152" s="223"/>
      <c r="CEW152" s="223"/>
      <c r="CEX152" s="223"/>
      <c r="CEY152" s="223"/>
      <c r="CEZ152" s="225"/>
      <c r="CFA152" s="220"/>
      <c r="CFB152" s="221"/>
      <c r="CFC152" s="222"/>
      <c r="CFD152" s="222"/>
      <c r="CFE152" s="223"/>
      <c r="CFF152" s="223"/>
      <c r="CFG152" s="224"/>
      <c r="CFH152" s="223"/>
      <c r="CFI152" s="223"/>
      <c r="CFJ152" s="223"/>
      <c r="CFK152" s="223"/>
      <c r="CFL152" s="225"/>
      <c r="CFM152" s="220"/>
      <c r="CFN152" s="221"/>
      <c r="CFO152" s="222"/>
      <c r="CFP152" s="222"/>
      <c r="CFQ152" s="223"/>
      <c r="CFR152" s="223"/>
      <c r="CFS152" s="224"/>
      <c r="CFT152" s="223"/>
      <c r="CFU152" s="223"/>
      <c r="CFV152" s="223"/>
      <c r="CFW152" s="223"/>
      <c r="CFX152" s="225"/>
      <c r="CFY152" s="220"/>
      <c r="CFZ152" s="221"/>
      <c r="CGA152" s="222"/>
      <c r="CGB152" s="222"/>
      <c r="CGC152" s="223"/>
      <c r="CGD152" s="223"/>
      <c r="CGE152" s="224"/>
      <c r="CGF152" s="223"/>
      <c r="CGG152" s="223"/>
      <c r="CGH152" s="223"/>
      <c r="CGI152" s="223"/>
      <c r="CGJ152" s="225"/>
      <c r="CGK152" s="220"/>
      <c r="CGL152" s="221"/>
      <c r="CGM152" s="222"/>
      <c r="CGN152" s="222"/>
      <c r="CGO152" s="223"/>
      <c r="CGP152" s="223"/>
      <c r="CGQ152" s="224"/>
      <c r="CGR152" s="223"/>
      <c r="CGS152" s="223"/>
      <c r="CGT152" s="223"/>
      <c r="CGU152" s="223"/>
      <c r="CGV152" s="225"/>
      <c r="CGW152" s="220"/>
      <c r="CGX152" s="221"/>
      <c r="CGY152" s="222"/>
      <c r="CGZ152" s="222"/>
      <c r="CHA152" s="223"/>
      <c r="CHB152" s="223"/>
      <c r="CHC152" s="224"/>
      <c r="CHD152" s="223"/>
      <c r="CHE152" s="223"/>
      <c r="CHF152" s="223"/>
      <c r="CHG152" s="223"/>
      <c r="CHH152" s="225"/>
      <c r="CHI152" s="220"/>
      <c r="CHJ152" s="221"/>
      <c r="CHK152" s="222"/>
      <c r="CHL152" s="222"/>
      <c r="CHM152" s="223"/>
      <c r="CHN152" s="223"/>
      <c r="CHO152" s="224"/>
      <c r="CHP152" s="223"/>
      <c r="CHQ152" s="223"/>
      <c r="CHR152" s="223"/>
      <c r="CHS152" s="223"/>
      <c r="CHT152" s="225"/>
      <c r="CHU152" s="220"/>
      <c r="CHV152" s="221"/>
      <c r="CHW152" s="222"/>
      <c r="CHX152" s="222"/>
      <c r="CHY152" s="223"/>
      <c r="CHZ152" s="223"/>
      <c r="CIA152" s="224"/>
      <c r="CIB152" s="223"/>
      <c r="CIC152" s="223"/>
      <c r="CID152" s="223"/>
      <c r="CIE152" s="223"/>
      <c r="CIF152" s="225"/>
      <c r="CIG152" s="220"/>
      <c r="CIH152" s="221"/>
      <c r="CII152" s="222"/>
      <c r="CIJ152" s="222"/>
      <c r="CIK152" s="223"/>
      <c r="CIL152" s="223"/>
      <c r="CIM152" s="224"/>
      <c r="CIN152" s="223"/>
      <c r="CIO152" s="223"/>
      <c r="CIP152" s="223"/>
      <c r="CIQ152" s="223"/>
      <c r="CIR152" s="225"/>
      <c r="CIS152" s="220"/>
      <c r="CIT152" s="221"/>
      <c r="CIU152" s="222"/>
      <c r="CIV152" s="222"/>
      <c r="CIW152" s="223"/>
      <c r="CIX152" s="223"/>
      <c r="CIY152" s="224"/>
      <c r="CIZ152" s="223"/>
      <c r="CJA152" s="223"/>
      <c r="CJB152" s="223"/>
      <c r="CJC152" s="223"/>
      <c r="CJD152" s="225"/>
      <c r="CJE152" s="220"/>
      <c r="CJF152" s="221"/>
      <c r="CJG152" s="222"/>
      <c r="CJH152" s="222"/>
      <c r="CJI152" s="223"/>
      <c r="CJJ152" s="223"/>
      <c r="CJK152" s="224"/>
      <c r="CJL152" s="223"/>
      <c r="CJM152" s="223"/>
      <c r="CJN152" s="223"/>
      <c r="CJO152" s="223"/>
      <c r="CJP152" s="225"/>
      <c r="CJQ152" s="220"/>
      <c r="CJR152" s="221"/>
      <c r="CJS152" s="222"/>
      <c r="CJT152" s="222"/>
      <c r="CJU152" s="223"/>
      <c r="CJV152" s="223"/>
      <c r="CJW152" s="224"/>
      <c r="CJX152" s="223"/>
      <c r="CJY152" s="223"/>
      <c r="CJZ152" s="223"/>
      <c r="CKA152" s="223"/>
      <c r="CKB152" s="225"/>
      <c r="CKC152" s="220"/>
      <c r="CKD152" s="221"/>
      <c r="CKE152" s="222"/>
      <c r="CKF152" s="222"/>
      <c r="CKG152" s="223"/>
      <c r="CKH152" s="223"/>
      <c r="CKI152" s="224"/>
      <c r="CKJ152" s="223"/>
      <c r="CKK152" s="223"/>
      <c r="CKL152" s="223"/>
      <c r="CKM152" s="223"/>
      <c r="CKN152" s="225"/>
      <c r="CKO152" s="220"/>
      <c r="CKP152" s="221"/>
      <c r="CKQ152" s="222"/>
      <c r="CKR152" s="222"/>
      <c r="CKS152" s="223"/>
      <c r="CKT152" s="223"/>
      <c r="CKU152" s="224"/>
      <c r="CKV152" s="223"/>
      <c r="CKW152" s="223"/>
      <c r="CKX152" s="223"/>
      <c r="CKY152" s="223"/>
      <c r="CKZ152" s="225"/>
      <c r="CLA152" s="220"/>
      <c r="CLB152" s="221"/>
      <c r="CLC152" s="222"/>
      <c r="CLD152" s="222"/>
      <c r="CLE152" s="223"/>
      <c r="CLF152" s="223"/>
      <c r="CLG152" s="224"/>
      <c r="CLH152" s="223"/>
      <c r="CLI152" s="223"/>
      <c r="CLJ152" s="223"/>
      <c r="CLK152" s="223"/>
      <c r="CLL152" s="225"/>
      <c r="CLM152" s="220"/>
      <c r="CLN152" s="221"/>
      <c r="CLO152" s="222"/>
      <c r="CLP152" s="222"/>
      <c r="CLQ152" s="223"/>
      <c r="CLR152" s="223"/>
      <c r="CLS152" s="224"/>
      <c r="CLT152" s="223"/>
      <c r="CLU152" s="223"/>
      <c r="CLV152" s="223"/>
      <c r="CLW152" s="223"/>
      <c r="CLX152" s="225"/>
      <c r="CLY152" s="220"/>
      <c r="CLZ152" s="221"/>
      <c r="CMA152" s="222"/>
      <c r="CMB152" s="222"/>
      <c r="CMC152" s="223"/>
      <c r="CMD152" s="223"/>
      <c r="CME152" s="224"/>
      <c r="CMF152" s="223"/>
      <c r="CMG152" s="223"/>
      <c r="CMH152" s="223"/>
      <c r="CMI152" s="223"/>
      <c r="CMJ152" s="225"/>
      <c r="CMK152" s="220"/>
      <c r="CML152" s="221"/>
      <c r="CMM152" s="222"/>
      <c r="CMN152" s="222"/>
      <c r="CMO152" s="223"/>
      <c r="CMP152" s="223"/>
      <c r="CMQ152" s="224"/>
      <c r="CMR152" s="223"/>
      <c r="CMS152" s="223"/>
      <c r="CMT152" s="223"/>
      <c r="CMU152" s="223"/>
      <c r="CMV152" s="225"/>
      <c r="CMW152" s="220"/>
      <c r="CMX152" s="221"/>
      <c r="CMY152" s="222"/>
      <c r="CMZ152" s="222"/>
      <c r="CNA152" s="223"/>
      <c r="CNB152" s="223"/>
      <c r="CNC152" s="224"/>
      <c r="CND152" s="223"/>
      <c r="CNE152" s="223"/>
      <c r="CNF152" s="223"/>
      <c r="CNG152" s="223"/>
      <c r="CNH152" s="225"/>
      <c r="CNI152" s="220"/>
      <c r="CNJ152" s="221"/>
      <c r="CNK152" s="222"/>
      <c r="CNL152" s="222"/>
      <c r="CNM152" s="223"/>
      <c r="CNN152" s="223"/>
      <c r="CNO152" s="224"/>
      <c r="CNP152" s="223"/>
      <c r="CNQ152" s="223"/>
      <c r="CNR152" s="223"/>
      <c r="CNS152" s="223"/>
      <c r="CNT152" s="225"/>
      <c r="CNU152" s="220"/>
      <c r="CNV152" s="221"/>
      <c r="CNW152" s="222"/>
      <c r="CNX152" s="222"/>
      <c r="CNY152" s="223"/>
      <c r="CNZ152" s="223"/>
      <c r="COA152" s="224"/>
      <c r="COB152" s="223"/>
      <c r="COC152" s="223"/>
      <c r="COD152" s="223"/>
      <c r="COE152" s="223"/>
      <c r="COF152" s="225"/>
      <c r="COG152" s="220"/>
      <c r="COH152" s="221"/>
      <c r="COI152" s="222"/>
      <c r="COJ152" s="222"/>
      <c r="COK152" s="223"/>
      <c r="COL152" s="223"/>
      <c r="COM152" s="224"/>
      <c r="CON152" s="223"/>
      <c r="COO152" s="223"/>
      <c r="COP152" s="223"/>
      <c r="COQ152" s="223"/>
      <c r="COR152" s="225"/>
      <c r="COS152" s="220"/>
      <c r="COT152" s="221"/>
      <c r="COU152" s="222"/>
      <c r="COV152" s="222"/>
      <c r="COW152" s="223"/>
      <c r="COX152" s="223"/>
      <c r="COY152" s="224"/>
      <c r="COZ152" s="223"/>
      <c r="CPA152" s="223"/>
      <c r="CPB152" s="223"/>
      <c r="CPC152" s="223"/>
      <c r="CPD152" s="225"/>
      <c r="CPE152" s="220"/>
      <c r="CPF152" s="221"/>
      <c r="CPG152" s="222"/>
      <c r="CPH152" s="222"/>
      <c r="CPI152" s="223"/>
      <c r="CPJ152" s="223"/>
      <c r="CPK152" s="224"/>
      <c r="CPL152" s="223"/>
      <c r="CPM152" s="223"/>
      <c r="CPN152" s="223"/>
      <c r="CPO152" s="223"/>
      <c r="CPP152" s="225"/>
      <c r="CPQ152" s="220"/>
      <c r="CPR152" s="221"/>
      <c r="CPS152" s="222"/>
      <c r="CPT152" s="222"/>
      <c r="CPU152" s="223"/>
      <c r="CPV152" s="223"/>
      <c r="CPW152" s="224"/>
      <c r="CPX152" s="223"/>
      <c r="CPY152" s="223"/>
      <c r="CPZ152" s="223"/>
      <c r="CQA152" s="223"/>
      <c r="CQB152" s="225"/>
      <c r="CQC152" s="220"/>
      <c r="CQD152" s="221"/>
      <c r="CQE152" s="222"/>
      <c r="CQF152" s="222"/>
      <c r="CQG152" s="223"/>
      <c r="CQH152" s="223"/>
      <c r="CQI152" s="224"/>
      <c r="CQJ152" s="223"/>
      <c r="CQK152" s="223"/>
      <c r="CQL152" s="223"/>
      <c r="CQM152" s="223"/>
      <c r="CQN152" s="225"/>
      <c r="CQO152" s="220"/>
      <c r="CQP152" s="221"/>
      <c r="CQQ152" s="222"/>
      <c r="CQR152" s="222"/>
      <c r="CQS152" s="223"/>
      <c r="CQT152" s="223"/>
      <c r="CQU152" s="224"/>
      <c r="CQV152" s="223"/>
      <c r="CQW152" s="223"/>
      <c r="CQX152" s="223"/>
      <c r="CQY152" s="223"/>
      <c r="CQZ152" s="225"/>
      <c r="CRA152" s="220"/>
      <c r="CRB152" s="221"/>
      <c r="CRC152" s="222"/>
      <c r="CRD152" s="222"/>
      <c r="CRE152" s="223"/>
      <c r="CRF152" s="223"/>
      <c r="CRG152" s="224"/>
      <c r="CRH152" s="223"/>
      <c r="CRI152" s="223"/>
      <c r="CRJ152" s="223"/>
      <c r="CRK152" s="223"/>
      <c r="CRL152" s="225"/>
      <c r="CRM152" s="220"/>
      <c r="CRN152" s="221"/>
      <c r="CRO152" s="222"/>
      <c r="CRP152" s="222"/>
      <c r="CRQ152" s="223"/>
      <c r="CRR152" s="223"/>
      <c r="CRS152" s="224"/>
      <c r="CRT152" s="223"/>
      <c r="CRU152" s="223"/>
      <c r="CRV152" s="223"/>
      <c r="CRW152" s="223"/>
      <c r="CRX152" s="225"/>
      <c r="CRY152" s="220"/>
      <c r="CRZ152" s="221"/>
      <c r="CSA152" s="222"/>
      <c r="CSB152" s="222"/>
      <c r="CSC152" s="223"/>
      <c r="CSD152" s="223"/>
      <c r="CSE152" s="224"/>
      <c r="CSF152" s="223"/>
      <c r="CSG152" s="223"/>
      <c r="CSH152" s="223"/>
      <c r="CSI152" s="223"/>
      <c r="CSJ152" s="225"/>
      <c r="CSK152" s="220"/>
      <c r="CSL152" s="221"/>
      <c r="CSM152" s="222"/>
      <c r="CSN152" s="222"/>
      <c r="CSO152" s="223"/>
      <c r="CSP152" s="223"/>
      <c r="CSQ152" s="224"/>
      <c r="CSR152" s="223"/>
      <c r="CSS152" s="223"/>
      <c r="CST152" s="223"/>
      <c r="CSU152" s="223"/>
      <c r="CSV152" s="225"/>
      <c r="CSW152" s="220"/>
      <c r="CSX152" s="221"/>
      <c r="CSY152" s="222"/>
      <c r="CSZ152" s="222"/>
      <c r="CTA152" s="223"/>
      <c r="CTB152" s="223"/>
      <c r="CTC152" s="224"/>
      <c r="CTD152" s="223"/>
      <c r="CTE152" s="223"/>
      <c r="CTF152" s="223"/>
      <c r="CTG152" s="223"/>
      <c r="CTH152" s="225"/>
      <c r="CTI152" s="220"/>
      <c r="CTJ152" s="221"/>
      <c r="CTK152" s="222"/>
      <c r="CTL152" s="222"/>
      <c r="CTM152" s="223"/>
      <c r="CTN152" s="223"/>
      <c r="CTO152" s="224"/>
      <c r="CTP152" s="223"/>
      <c r="CTQ152" s="223"/>
      <c r="CTR152" s="223"/>
      <c r="CTS152" s="223"/>
      <c r="CTT152" s="225"/>
      <c r="CTU152" s="220"/>
      <c r="CTV152" s="221"/>
      <c r="CTW152" s="222"/>
      <c r="CTX152" s="222"/>
      <c r="CTY152" s="223"/>
      <c r="CTZ152" s="223"/>
      <c r="CUA152" s="224"/>
      <c r="CUB152" s="223"/>
      <c r="CUC152" s="223"/>
      <c r="CUD152" s="223"/>
      <c r="CUE152" s="223"/>
      <c r="CUF152" s="225"/>
      <c r="CUG152" s="220"/>
      <c r="CUH152" s="221"/>
      <c r="CUI152" s="222"/>
      <c r="CUJ152" s="222"/>
      <c r="CUK152" s="223"/>
      <c r="CUL152" s="223"/>
      <c r="CUM152" s="224"/>
      <c r="CUN152" s="223"/>
      <c r="CUO152" s="223"/>
      <c r="CUP152" s="223"/>
      <c r="CUQ152" s="223"/>
      <c r="CUR152" s="225"/>
      <c r="CUS152" s="220"/>
      <c r="CUT152" s="221"/>
      <c r="CUU152" s="222"/>
      <c r="CUV152" s="222"/>
      <c r="CUW152" s="223"/>
      <c r="CUX152" s="223"/>
      <c r="CUY152" s="224"/>
      <c r="CUZ152" s="223"/>
      <c r="CVA152" s="223"/>
      <c r="CVB152" s="223"/>
      <c r="CVC152" s="223"/>
      <c r="CVD152" s="225"/>
      <c r="CVE152" s="220"/>
      <c r="CVF152" s="221"/>
      <c r="CVG152" s="222"/>
      <c r="CVH152" s="222"/>
      <c r="CVI152" s="223"/>
      <c r="CVJ152" s="223"/>
      <c r="CVK152" s="224"/>
      <c r="CVL152" s="223"/>
      <c r="CVM152" s="223"/>
      <c r="CVN152" s="223"/>
      <c r="CVO152" s="223"/>
      <c r="CVP152" s="225"/>
      <c r="CVQ152" s="220"/>
      <c r="CVR152" s="221"/>
      <c r="CVS152" s="222"/>
      <c r="CVT152" s="222"/>
      <c r="CVU152" s="223"/>
      <c r="CVV152" s="223"/>
      <c r="CVW152" s="224"/>
      <c r="CVX152" s="223"/>
      <c r="CVY152" s="223"/>
      <c r="CVZ152" s="223"/>
      <c r="CWA152" s="223"/>
      <c r="CWB152" s="225"/>
      <c r="CWC152" s="220"/>
      <c r="CWD152" s="221"/>
      <c r="CWE152" s="222"/>
      <c r="CWF152" s="222"/>
      <c r="CWG152" s="223"/>
      <c r="CWH152" s="223"/>
      <c r="CWI152" s="224"/>
      <c r="CWJ152" s="223"/>
      <c r="CWK152" s="223"/>
      <c r="CWL152" s="223"/>
      <c r="CWM152" s="223"/>
      <c r="CWN152" s="225"/>
      <c r="CWO152" s="220"/>
      <c r="CWP152" s="221"/>
      <c r="CWQ152" s="222"/>
      <c r="CWR152" s="222"/>
      <c r="CWS152" s="223"/>
      <c r="CWT152" s="223"/>
      <c r="CWU152" s="224"/>
      <c r="CWV152" s="223"/>
      <c r="CWW152" s="223"/>
      <c r="CWX152" s="223"/>
      <c r="CWY152" s="223"/>
      <c r="CWZ152" s="225"/>
      <c r="CXA152" s="220"/>
      <c r="CXB152" s="221"/>
      <c r="CXC152" s="222"/>
      <c r="CXD152" s="222"/>
      <c r="CXE152" s="223"/>
      <c r="CXF152" s="223"/>
      <c r="CXG152" s="224"/>
      <c r="CXH152" s="223"/>
      <c r="CXI152" s="223"/>
      <c r="CXJ152" s="223"/>
      <c r="CXK152" s="223"/>
      <c r="CXL152" s="225"/>
      <c r="CXM152" s="220"/>
      <c r="CXN152" s="221"/>
      <c r="CXO152" s="222"/>
      <c r="CXP152" s="222"/>
      <c r="CXQ152" s="223"/>
      <c r="CXR152" s="223"/>
      <c r="CXS152" s="224"/>
      <c r="CXT152" s="223"/>
      <c r="CXU152" s="223"/>
      <c r="CXV152" s="223"/>
      <c r="CXW152" s="223"/>
      <c r="CXX152" s="225"/>
      <c r="CXY152" s="220"/>
      <c r="CXZ152" s="221"/>
      <c r="CYA152" s="222"/>
      <c r="CYB152" s="222"/>
      <c r="CYC152" s="223"/>
      <c r="CYD152" s="223"/>
      <c r="CYE152" s="224"/>
      <c r="CYF152" s="223"/>
      <c r="CYG152" s="223"/>
      <c r="CYH152" s="223"/>
      <c r="CYI152" s="223"/>
      <c r="CYJ152" s="225"/>
      <c r="CYK152" s="220"/>
      <c r="CYL152" s="221"/>
      <c r="CYM152" s="222"/>
      <c r="CYN152" s="222"/>
      <c r="CYO152" s="223"/>
      <c r="CYP152" s="223"/>
      <c r="CYQ152" s="224"/>
      <c r="CYR152" s="223"/>
      <c r="CYS152" s="223"/>
      <c r="CYT152" s="223"/>
      <c r="CYU152" s="223"/>
      <c r="CYV152" s="225"/>
      <c r="CYW152" s="220"/>
      <c r="CYX152" s="221"/>
      <c r="CYY152" s="222"/>
      <c r="CYZ152" s="222"/>
      <c r="CZA152" s="223"/>
      <c r="CZB152" s="223"/>
      <c r="CZC152" s="224"/>
      <c r="CZD152" s="223"/>
      <c r="CZE152" s="223"/>
      <c r="CZF152" s="223"/>
      <c r="CZG152" s="223"/>
      <c r="CZH152" s="225"/>
      <c r="CZI152" s="220"/>
      <c r="CZJ152" s="221"/>
      <c r="CZK152" s="222"/>
      <c r="CZL152" s="222"/>
      <c r="CZM152" s="223"/>
      <c r="CZN152" s="223"/>
      <c r="CZO152" s="224"/>
      <c r="CZP152" s="223"/>
      <c r="CZQ152" s="223"/>
      <c r="CZR152" s="223"/>
      <c r="CZS152" s="223"/>
      <c r="CZT152" s="225"/>
      <c r="CZU152" s="220"/>
      <c r="CZV152" s="221"/>
      <c r="CZW152" s="222"/>
      <c r="CZX152" s="222"/>
      <c r="CZY152" s="223"/>
      <c r="CZZ152" s="223"/>
      <c r="DAA152" s="224"/>
      <c r="DAB152" s="223"/>
      <c r="DAC152" s="223"/>
      <c r="DAD152" s="223"/>
      <c r="DAE152" s="223"/>
      <c r="DAF152" s="225"/>
      <c r="DAG152" s="220"/>
      <c r="DAH152" s="221"/>
      <c r="DAI152" s="222"/>
      <c r="DAJ152" s="222"/>
      <c r="DAK152" s="223"/>
      <c r="DAL152" s="223"/>
      <c r="DAM152" s="224"/>
      <c r="DAN152" s="223"/>
      <c r="DAO152" s="223"/>
      <c r="DAP152" s="223"/>
      <c r="DAQ152" s="223"/>
      <c r="DAR152" s="225"/>
      <c r="DAS152" s="220"/>
      <c r="DAT152" s="221"/>
      <c r="DAU152" s="222"/>
      <c r="DAV152" s="222"/>
      <c r="DAW152" s="223"/>
      <c r="DAX152" s="223"/>
      <c r="DAY152" s="224"/>
      <c r="DAZ152" s="223"/>
      <c r="DBA152" s="223"/>
      <c r="DBB152" s="223"/>
      <c r="DBC152" s="223"/>
      <c r="DBD152" s="225"/>
      <c r="DBE152" s="220"/>
      <c r="DBF152" s="221"/>
      <c r="DBG152" s="222"/>
      <c r="DBH152" s="222"/>
      <c r="DBI152" s="223"/>
      <c r="DBJ152" s="223"/>
      <c r="DBK152" s="224"/>
      <c r="DBL152" s="223"/>
      <c r="DBM152" s="223"/>
      <c r="DBN152" s="223"/>
      <c r="DBO152" s="223"/>
      <c r="DBP152" s="225"/>
      <c r="DBQ152" s="220"/>
      <c r="DBR152" s="221"/>
      <c r="DBS152" s="222"/>
      <c r="DBT152" s="222"/>
      <c r="DBU152" s="223"/>
      <c r="DBV152" s="223"/>
      <c r="DBW152" s="224"/>
      <c r="DBX152" s="223"/>
      <c r="DBY152" s="223"/>
      <c r="DBZ152" s="223"/>
      <c r="DCA152" s="223"/>
      <c r="DCB152" s="225"/>
      <c r="DCC152" s="220"/>
      <c r="DCD152" s="221"/>
      <c r="DCE152" s="222"/>
      <c r="DCF152" s="222"/>
      <c r="DCG152" s="223"/>
      <c r="DCH152" s="223"/>
      <c r="DCI152" s="224"/>
      <c r="DCJ152" s="223"/>
      <c r="DCK152" s="223"/>
      <c r="DCL152" s="223"/>
      <c r="DCM152" s="223"/>
      <c r="DCN152" s="225"/>
      <c r="DCO152" s="220"/>
      <c r="DCP152" s="221"/>
      <c r="DCQ152" s="222"/>
      <c r="DCR152" s="222"/>
      <c r="DCS152" s="223"/>
      <c r="DCT152" s="223"/>
      <c r="DCU152" s="224"/>
      <c r="DCV152" s="223"/>
      <c r="DCW152" s="223"/>
      <c r="DCX152" s="223"/>
      <c r="DCY152" s="223"/>
      <c r="DCZ152" s="225"/>
      <c r="DDA152" s="220"/>
      <c r="DDB152" s="221"/>
      <c r="DDC152" s="222"/>
      <c r="DDD152" s="222"/>
      <c r="DDE152" s="223"/>
      <c r="DDF152" s="223"/>
      <c r="DDG152" s="224"/>
      <c r="DDH152" s="223"/>
      <c r="DDI152" s="223"/>
      <c r="DDJ152" s="223"/>
      <c r="DDK152" s="223"/>
      <c r="DDL152" s="225"/>
      <c r="DDM152" s="220"/>
      <c r="DDN152" s="221"/>
      <c r="DDO152" s="222"/>
      <c r="DDP152" s="222"/>
      <c r="DDQ152" s="223"/>
      <c r="DDR152" s="223"/>
      <c r="DDS152" s="224"/>
      <c r="DDT152" s="223"/>
      <c r="DDU152" s="223"/>
      <c r="DDV152" s="223"/>
      <c r="DDW152" s="223"/>
      <c r="DDX152" s="225"/>
      <c r="DDY152" s="220"/>
      <c r="DDZ152" s="221"/>
      <c r="DEA152" s="222"/>
      <c r="DEB152" s="222"/>
      <c r="DEC152" s="223"/>
      <c r="DED152" s="223"/>
      <c r="DEE152" s="224"/>
      <c r="DEF152" s="223"/>
      <c r="DEG152" s="223"/>
      <c r="DEH152" s="223"/>
      <c r="DEI152" s="223"/>
      <c r="DEJ152" s="225"/>
      <c r="DEK152" s="220"/>
      <c r="DEL152" s="221"/>
      <c r="DEM152" s="222"/>
      <c r="DEN152" s="222"/>
      <c r="DEO152" s="223"/>
      <c r="DEP152" s="223"/>
      <c r="DEQ152" s="224"/>
      <c r="DER152" s="223"/>
      <c r="DES152" s="223"/>
      <c r="DET152" s="223"/>
      <c r="DEU152" s="223"/>
      <c r="DEV152" s="225"/>
      <c r="DEW152" s="220"/>
      <c r="DEX152" s="221"/>
      <c r="DEY152" s="222"/>
      <c r="DEZ152" s="222"/>
      <c r="DFA152" s="223"/>
      <c r="DFB152" s="223"/>
      <c r="DFC152" s="224"/>
      <c r="DFD152" s="223"/>
      <c r="DFE152" s="223"/>
      <c r="DFF152" s="223"/>
      <c r="DFG152" s="223"/>
      <c r="DFH152" s="225"/>
      <c r="DFI152" s="220"/>
      <c r="DFJ152" s="221"/>
      <c r="DFK152" s="222"/>
      <c r="DFL152" s="222"/>
      <c r="DFM152" s="223"/>
      <c r="DFN152" s="223"/>
      <c r="DFO152" s="224"/>
      <c r="DFP152" s="223"/>
      <c r="DFQ152" s="223"/>
      <c r="DFR152" s="223"/>
      <c r="DFS152" s="223"/>
      <c r="DFT152" s="225"/>
      <c r="DFU152" s="220"/>
      <c r="DFV152" s="221"/>
      <c r="DFW152" s="222"/>
      <c r="DFX152" s="222"/>
      <c r="DFY152" s="223"/>
      <c r="DFZ152" s="223"/>
      <c r="DGA152" s="224"/>
      <c r="DGB152" s="223"/>
      <c r="DGC152" s="223"/>
      <c r="DGD152" s="223"/>
      <c r="DGE152" s="223"/>
      <c r="DGF152" s="225"/>
      <c r="DGG152" s="220"/>
      <c r="DGH152" s="221"/>
      <c r="DGI152" s="222"/>
      <c r="DGJ152" s="222"/>
      <c r="DGK152" s="223"/>
      <c r="DGL152" s="223"/>
      <c r="DGM152" s="224"/>
      <c r="DGN152" s="223"/>
      <c r="DGO152" s="223"/>
      <c r="DGP152" s="223"/>
      <c r="DGQ152" s="223"/>
      <c r="DGR152" s="225"/>
      <c r="DGS152" s="220"/>
      <c r="DGT152" s="221"/>
      <c r="DGU152" s="222"/>
      <c r="DGV152" s="222"/>
      <c r="DGW152" s="223"/>
      <c r="DGX152" s="223"/>
      <c r="DGY152" s="224"/>
      <c r="DGZ152" s="223"/>
      <c r="DHA152" s="223"/>
      <c r="DHB152" s="223"/>
      <c r="DHC152" s="223"/>
      <c r="DHD152" s="225"/>
      <c r="DHE152" s="220"/>
      <c r="DHF152" s="221"/>
      <c r="DHG152" s="222"/>
      <c r="DHH152" s="222"/>
      <c r="DHI152" s="223"/>
      <c r="DHJ152" s="223"/>
      <c r="DHK152" s="224"/>
      <c r="DHL152" s="223"/>
      <c r="DHM152" s="223"/>
      <c r="DHN152" s="223"/>
      <c r="DHO152" s="223"/>
      <c r="DHP152" s="225"/>
      <c r="DHQ152" s="220"/>
      <c r="DHR152" s="221"/>
      <c r="DHS152" s="222"/>
      <c r="DHT152" s="222"/>
      <c r="DHU152" s="223"/>
      <c r="DHV152" s="223"/>
      <c r="DHW152" s="224"/>
      <c r="DHX152" s="223"/>
      <c r="DHY152" s="223"/>
      <c r="DHZ152" s="223"/>
      <c r="DIA152" s="223"/>
      <c r="DIB152" s="225"/>
      <c r="DIC152" s="220"/>
      <c r="DID152" s="221"/>
      <c r="DIE152" s="222"/>
      <c r="DIF152" s="222"/>
      <c r="DIG152" s="223"/>
      <c r="DIH152" s="223"/>
      <c r="DII152" s="224"/>
      <c r="DIJ152" s="223"/>
      <c r="DIK152" s="223"/>
      <c r="DIL152" s="223"/>
      <c r="DIM152" s="223"/>
      <c r="DIN152" s="225"/>
      <c r="DIO152" s="220"/>
      <c r="DIP152" s="221"/>
      <c r="DIQ152" s="222"/>
      <c r="DIR152" s="222"/>
      <c r="DIS152" s="223"/>
      <c r="DIT152" s="223"/>
      <c r="DIU152" s="224"/>
      <c r="DIV152" s="223"/>
      <c r="DIW152" s="223"/>
      <c r="DIX152" s="223"/>
      <c r="DIY152" s="223"/>
      <c r="DIZ152" s="225"/>
      <c r="DJA152" s="220"/>
      <c r="DJB152" s="221"/>
      <c r="DJC152" s="222"/>
      <c r="DJD152" s="222"/>
      <c r="DJE152" s="223"/>
      <c r="DJF152" s="223"/>
      <c r="DJG152" s="224"/>
      <c r="DJH152" s="223"/>
      <c r="DJI152" s="223"/>
      <c r="DJJ152" s="223"/>
      <c r="DJK152" s="223"/>
      <c r="DJL152" s="225"/>
      <c r="DJM152" s="220"/>
      <c r="DJN152" s="221"/>
      <c r="DJO152" s="222"/>
      <c r="DJP152" s="222"/>
      <c r="DJQ152" s="223"/>
      <c r="DJR152" s="223"/>
      <c r="DJS152" s="224"/>
      <c r="DJT152" s="223"/>
      <c r="DJU152" s="223"/>
      <c r="DJV152" s="223"/>
      <c r="DJW152" s="223"/>
      <c r="DJX152" s="225"/>
      <c r="DJY152" s="220"/>
      <c r="DJZ152" s="221"/>
      <c r="DKA152" s="222"/>
      <c r="DKB152" s="222"/>
      <c r="DKC152" s="223"/>
      <c r="DKD152" s="223"/>
      <c r="DKE152" s="224"/>
      <c r="DKF152" s="223"/>
      <c r="DKG152" s="223"/>
      <c r="DKH152" s="223"/>
      <c r="DKI152" s="223"/>
      <c r="DKJ152" s="225"/>
      <c r="DKK152" s="220"/>
      <c r="DKL152" s="221"/>
      <c r="DKM152" s="222"/>
      <c r="DKN152" s="222"/>
      <c r="DKO152" s="223"/>
      <c r="DKP152" s="223"/>
      <c r="DKQ152" s="224"/>
      <c r="DKR152" s="223"/>
      <c r="DKS152" s="223"/>
      <c r="DKT152" s="223"/>
      <c r="DKU152" s="223"/>
      <c r="DKV152" s="225"/>
      <c r="DKW152" s="220"/>
      <c r="DKX152" s="221"/>
      <c r="DKY152" s="222"/>
      <c r="DKZ152" s="222"/>
      <c r="DLA152" s="223"/>
      <c r="DLB152" s="223"/>
      <c r="DLC152" s="224"/>
      <c r="DLD152" s="223"/>
      <c r="DLE152" s="223"/>
      <c r="DLF152" s="223"/>
      <c r="DLG152" s="223"/>
      <c r="DLH152" s="225"/>
      <c r="DLI152" s="220"/>
      <c r="DLJ152" s="221"/>
      <c r="DLK152" s="222"/>
      <c r="DLL152" s="222"/>
      <c r="DLM152" s="223"/>
      <c r="DLN152" s="223"/>
      <c r="DLO152" s="224"/>
      <c r="DLP152" s="223"/>
      <c r="DLQ152" s="223"/>
      <c r="DLR152" s="223"/>
      <c r="DLS152" s="223"/>
      <c r="DLT152" s="225"/>
      <c r="DLU152" s="220"/>
      <c r="DLV152" s="221"/>
      <c r="DLW152" s="222"/>
      <c r="DLX152" s="222"/>
      <c r="DLY152" s="223"/>
      <c r="DLZ152" s="223"/>
      <c r="DMA152" s="224"/>
      <c r="DMB152" s="223"/>
      <c r="DMC152" s="223"/>
      <c r="DMD152" s="223"/>
      <c r="DME152" s="223"/>
      <c r="DMF152" s="225"/>
      <c r="DMG152" s="220"/>
      <c r="DMH152" s="221"/>
      <c r="DMI152" s="222"/>
      <c r="DMJ152" s="222"/>
      <c r="DMK152" s="223"/>
      <c r="DML152" s="223"/>
      <c r="DMM152" s="224"/>
      <c r="DMN152" s="223"/>
      <c r="DMO152" s="223"/>
      <c r="DMP152" s="223"/>
      <c r="DMQ152" s="223"/>
      <c r="DMR152" s="225"/>
      <c r="DMS152" s="220"/>
      <c r="DMT152" s="221"/>
      <c r="DMU152" s="222"/>
      <c r="DMV152" s="222"/>
      <c r="DMW152" s="223"/>
      <c r="DMX152" s="223"/>
      <c r="DMY152" s="224"/>
      <c r="DMZ152" s="223"/>
      <c r="DNA152" s="223"/>
      <c r="DNB152" s="223"/>
      <c r="DNC152" s="223"/>
      <c r="DND152" s="225"/>
      <c r="DNE152" s="220"/>
      <c r="DNF152" s="221"/>
      <c r="DNG152" s="222"/>
      <c r="DNH152" s="222"/>
      <c r="DNI152" s="223"/>
      <c r="DNJ152" s="223"/>
      <c r="DNK152" s="224"/>
      <c r="DNL152" s="223"/>
      <c r="DNM152" s="223"/>
      <c r="DNN152" s="223"/>
      <c r="DNO152" s="223"/>
      <c r="DNP152" s="225"/>
      <c r="DNQ152" s="220"/>
      <c r="DNR152" s="221"/>
      <c r="DNS152" s="222"/>
      <c r="DNT152" s="222"/>
      <c r="DNU152" s="223"/>
      <c r="DNV152" s="223"/>
      <c r="DNW152" s="224"/>
      <c r="DNX152" s="223"/>
      <c r="DNY152" s="223"/>
      <c r="DNZ152" s="223"/>
      <c r="DOA152" s="223"/>
      <c r="DOB152" s="225"/>
      <c r="DOC152" s="220"/>
      <c r="DOD152" s="221"/>
      <c r="DOE152" s="222"/>
      <c r="DOF152" s="222"/>
      <c r="DOG152" s="223"/>
      <c r="DOH152" s="223"/>
      <c r="DOI152" s="224"/>
      <c r="DOJ152" s="223"/>
      <c r="DOK152" s="223"/>
      <c r="DOL152" s="223"/>
      <c r="DOM152" s="223"/>
      <c r="DON152" s="225"/>
      <c r="DOO152" s="220"/>
      <c r="DOP152" s="221"/>
      <c r="DOQ152" s="222"/>
      <c r="DOR152" s="222"/>
      <c r="DOS152" s="223"/>
      <c r="DOT152" s="223"/>
      <c r="DOU152" s="224"/>
      <c r="DOV152" s="223"/>
      <c r="DOW152" s="223"/>
      <c r="DOX152" s="223"/>
      <c r="DOY152" s="223"/>
      <c r="DOZ152" s="225"/>
      <c r="DPA152" s="220"/>
      <c r="DPB152" s="221"/>
      <c r="DPC152" s="222"/>
      <c r="DPD152" s="222"/>
      <c r="DPE152" s="223"/>
      <c r="DPF152" s="223"/>
      <c r="DPG152" s="224"/>
      <c r="DPH152" s="223"/>
      <c r="DPI152" s="223"/>
      <c r="DPJ152" s="223"/>
      <c r="DPK152" s="223"/>
      <c r="DPL152" s="225"/>
      <c r="DPM152" s="220"/>
      <c r="DPN152" s="221"/>
      <c r="DPO152" s="222"/>
      <c r="DPP152" s="222"/>
      <c r="DPQ152" s="223"/>
      <c r="DPR152" s="223"/>
      <c r="DPS152" s="224"/>
      <c r="DPT152" s="223"/>
      <c r="DPU152" s="223"/>
      <c r="DPV152" s="223"/>
      <c r="DPW152" s="223"/>
      <c r="DPX152" s="225"/>
      <c r="DPY152" s="220"/>
      <c r="DPZ152" s="221"/>
      <c r="DQA152" s="222"/>
      <c r="DQB152" s="222"/>
      <c r="DQC152" s="223"/>
      <c r="DQD152" s="223"/>
      <c r="DQE152" s="224"/>
      <c r="DQF152" s="223"/>
      <c r="DQG152" s="223"/>
      <c r="DQH152" s="223"/>
      <c r="DQI152" s="223"/>
      <c r="DQJ152" s="225"/>
      <c r="DQK152" s="220"/>
      <c r="DQL152" s="221"/>
      <c r="DQM152" s="222"/>
      <c r="DQN152" s="222"/>
      <c r="DQO152" s="223"/>
      <c r="DQP152" s="223"/>
      <c r="DQQ152" s="224"/>
      <c r="DQR152" s="223"/>
      <c r="DQS152" s="223"/>
      <c r="DQT152" s="223"/>
      <c r="DQU152" s="223"/>
      <c r="DQV152" s="225"/>
      <c r="DQW152" s="220"/>
      <c r="DQX152" s="221"/>
      <c r="DQY152" s="222"/>
      <c r="DQZ152" s="222"/>
      <c r="DRA152" s="223"/>
      <c r="DRB152" s="223"/>
      <c r="DRC152" s="224"/>
      <c r="DRD152" s="223"/>
      <c r="DRE152" s="223"/>
      <c r="DRF152" s="223"/>
      <c r="DRG152" s="223"/>
      <c r="DRH152" s="225"/>
      <c r="DRI152" s="220"/>
      <c r="DRJ152" s="221"/>
      <c r="DRK152" s="222"/>
      <c r="DRL152" s="222"/>
      <c r="DRM152" s="223"/>
      <c r="DRN152" s="223"/>
      <c r="DRO152" s="224"/>
      <c r="DRP152" s="223"/>
      <c r="DRQ152" s="223"/>
      <c r="DRR152" s="223"/>
      <c r="DRS152" s="223"/>
      <c r="DRT152" s="225"/>
      <c r="DRU152" s="220"/>
      <c r="DRV152" s="221"/>
      <c r="DRW152" s="222"/>
      <c r="DRX152" s="222"/>
      <c r="DRY152" s="223"/>
      <c r="DRZ152" s="223"/>
      <c r="DSA152" s="224"/>
      <c r="DSB152" s="223"/>
      <c r="DSC152" s="223"/>
      <c r="DSD152" s="223"/>
      <c r="DSE152" s="223"/>
      <c r="DSF152" s="225"/>
      <c r="DSG152" s="220"/>
      <c r="DSH152" s="221"/>
      <c r="DSI152" s="222"/>
      <c r="DSJ152" s="222"/>
      <c r="DSK152" s="223"/>
      <c r="DSL152" s="223"/>
      <c r="DSM152" s="224"/>
      <c r="DSN152" s="223"/>
      <c r="DSO152" s="223"/>
      <c r="DSP152" s="223"/>
      <c r="DSQ152" s="223"/>
      <c r="DSR152" s="225"/>
      <c r="DSS152" s="220"/>
      <c r="DST152" s="221"/>
      <c r="DSU152" s="222"/>
      <c r="DSV152" s="222"/>
      <c r="DSW152" s="223"/>
      <c r="DSX152" s="223"/>
      <c r="DSY152" s="224"/>
      <c r="DSZ152" s="223"/>
      <c r="DTA152" s="223"/>
      <c r="DTB152" s="223"/>
      <c r="DTC152" s="223"/>
      <c r="DTD152" s="225"/>
      <c r="DTE152" s="220"/>
      <c r="DTF152" s="221"/>
      <c r="DTG152" s="222"/>
      <c r="DTH152" s="222"/>
      <c r="DTI152" s="223"/>
      <c r="DTJ152" s="223"/>
      <c r="DTK152" s="224"/>
      <c r="DTL152" s="223"/>
      <c r="DTM152" s="223"/>
      <c r="DTN152" s="223"/>
      <c r="DTO152" s="223"/>
      <c r="DTP152" s="225"/>
      <c r="DTQ152" s="220"/>
      <c r="DTR152" s="221"/>
      <c r="DTS152" s="222"/>
      <c r="DTT152" s="222"/>
      <c r="DTU152" s="223"/>
      <c r="DTV152" s="223"/>
      <c r="DTW152" s="224"/>
      <c r="DTX152" s="223"/>
      <c r="DTY152" s="223"/>
      <c r="DTZ152" s="223"/>
      <c r="DUA152" s="223"/>
      <c r="DUB152" s="225"/>
      <c r="DUC152" s="220"/>
      <c r="DUD152" s="221"/>
      <c r="DUE152" s="222"/>
      <c r="DUF152" s="222"/>
      <c r="DUG152" s="223"/>
      <c r="DUH152" s="223"/>
      <c r="DUI152" s="224"/>
      <c r="DUJ152" s="223"/>
      <c r="DUK152" s="223"/>
      <c r="DUL152" s="223"/>
      <c r="DUM152" s="223"/>
      <c r="DUN152" s="225"/>
      <c r="DUO152" s="220"/>
      <c r="DUP152" s="221"/>
      <c r="DUQ152" s="222"/>
      <c r="DUR152" s="222"/>
      <c r="DUS152" s="223"/>
      <c r="DUT152" s="223"/>
      <c r="DUU152" s="224"/>
      <c r="DUV152" s="223"/>
      <c r="DUW152" s="223"/>
      <c r="DUX152" s="223"/>
      <c r="DUY152" s="223"/>
      <c r="DUZ152" s="225"/>
      <c r="DVA152" s="220"/>
      <c r="DVB152" s="221"/>
      <c r="DVC152" s="222"/>
      <c r="DVD152" s="222"/>
      <c r="DVE152" s="223"/>
      <c r="DVF152" s="223"/>
      <c r="DVG152" s="224"/>
      <c r="DVH152" s="223"/>
      <c r="DVI152" s="223"/>
      <c r="DVJ152" s="223"/>
      <c r="DVK152" s="223"/>
      <c r="DVL152" s="225"/>
      <c r="DVM152" s="220"/>
      <c r="DVN152" s="221"/>
      <c r="DVO152" s="222"/>
      <c r="DVP152" s="222"/>
      <c r="DVQ152" s="223"/>
      <c r="DVR152" s="223"/>
      <c r="DVS152" s="224"/>
      <c r="DVT152" s="223"/>
      <c r="DVU152" s="223"/>
      <c r="DVV152" s="223"/>
      <c r="DVW152" s="223"/>
      <c r="DVX152" s="225"/>
      <c r="DVY152" s="220"/>
      <c r="DVZ152" s="221"/>
      <c r="DWA152" s="222"/>
      <c r="DWB152" s="222"/>
      <c r="DWC152" s="223"/>
      <c r="DWD152" s="223"/>
      <c r="DWE152" s="224"/>
      <c r="DWF152" s="223"/>
      <c r="DWG152" s="223"/>
      <c r="DWH152" s="223"/>
      <c r="DWI152" s="223"/>
      <c r="DWJ152" s="225"/>
      <c r="DWK152" s="220"/>
      <c r="DWL152" s="221"/>
      <c r="DWM152" s="222"/>
      <c r="DWN152" s="222"/>
      <c r="DWO152" s="223"/>
      <c r="DWP152" s="223"/>
      <c r="DWQ152" s="224"/>
      <c r="DWR152" s="223"/>
      <c r="DWS152" s="223"/>
      <c r="DWT152" s="223"/>
      <c r="DWU152" s="223"/>
      <c r="DWV152" s="225"/>
      <c r="DWW152" s="220"/>
      <c r="DWX152" s="221"/>
      <c r="DWY152" s="222"/>
      <c r="DWZ152" s="222"/>
      <c r="DXA152" s="223"/>
      <c r="DXB152" s="223"/>
      <c r="DXC152" s="224"/>
      <c r="DXD152" s="223"/>
      <c r="DXE152" s="223"/>
      <c r="DXF152" s="223"/>
      <c r="DXG152" s="223"/>
      <c r="DXH152" s="225"/>
      <c r="DXI152" s="220"/>
      <c r="DXJ152" s="221"/>
      <c r="DXK152" s="222"/>
      <c r="DXL152" s="222"/>
      <c r="DXM152" s="223"/>
      <c r="DXN152" s="223"/>
      <c r="DXO152" s="224"/>
      <c r="DXP152" s="223"/>
      <c r="DXQ152" s="223"/>
      <c r="DXR152" s="223"/>
      <c r="DXS152" s="223"/>
      <c r="DXT152" s="225"/>
      <c r="DXU152" s="220"/>
      <c r="DXV152" s="221"/>
      <c r="DXW152" s="222"/>
      <c r="DXX152" s="222"/>
      <c r="DXY152" s="223"/>
      <c r="DXZ152" s="223"/>
      <c r="DYA152" s="224"/>
      <c r="DYB152" s="223"/>
      <c r="DYC152" s="223"/>
      <c r="DYD152" s="223"/>
      <c r="DYE152" s="223"/>
      <c r="DYF152" s="225"/>
      <c r="DYG152" s="220"/>
      <c r="DYH152" s="221"/>
      <c r="DYI152" s="222"/>
      <c r="DYJ152" s="222"/>
      <c r="DYK152" s="223"/>
      <c r="DYL152" s="223"/>
      <c r="DYM152" s="224"/>
      <c r="DYN152" s="223"/>
      <c r="DYO152" s="223"/>
      <c r="DYP152" s="223"/>
      <c r="DYQ152" s="223"/>
      <c r="DYR152" s="225"/>
      <c r="DYS152" s="220"/>
      <c r="DYT152" s="221"/>
      <c r="DYU152" s="222"/>
      <c r="DYV152" s="222"/>
      <c r="DYW152" s="223"/>
      <c r="DYX152" s="223"/>
      <c r="DYY152" s="224"/>
      <c r="DYZ152" s="223"/>
      <c r="DZA152" s="223"/>
      <c r="DZB152" s="223"/>
      <c r="DZC152" s="223"/>
      <c r="DZD152" s="225"/>
      <c r="DZE152" s="220"/>
      <c r="DZF152" s="221"/>
      <c r="DZG152" s="222"/>
      <c r="DZH152" s="222"/>
      <c r="DZI152" s="223"/>
      <c r="DZJ152" s="223"/>
      <c r="DZK152" s="224"/>
      <c r="DZL152" s="223"/>
      <c r="DZM152" s="223"/>
      <c r="DZN152" s="223"/>
      <c r="DZO152" s="223"/>
      <c r="DZP152" s="225"/>
      <c r="DZQ152" s="220"/>
      <c r="DZR152" s="221"/>
      <c r="DZS152" s="222"/>
      <c r="DZT152" s="222"/>
      <c r="DZU152" s="223"/>
      <c r="DZV152" s="223"/>
      <c r="DZW152" s="224"/>
      <c r="DZX152" s="223"/>
      <c r="DZY152" s="223"/>
      <c r="DZZ152" s="223"/>
      <c r="EAA152" s="223"/>
      <c r="EAB152" s="225"/>
      <c r="EAC152" s="220"/>
      <c r="EAD152" s="221"/>
      <c r="EAE152" s="222"/>
      <c r="EAF152" s="222"/>
      <c r="EAG152" s="223"/>
      <c r="EAH152" s="223"/>
      <c r="EAI152" s="224"/>
      <c r="EAJ152" s="223"/>
      <c r="EAK152" s="223"/>
      <c r="EAL152" s="223"/>
      <c r="EAM152" s="223"/>
      <c r="EAN152" s="225"/>
      <c r="EAO152" s="220"/>
      <c r="EAP152" s="221"/>
      <c r="EAQ152" s="222"/>
      <c r="EAR152" s="222"/>
      <c r="EAS152" s="223"/>
      <c r="EAT152" s="223"/>
      <c r="EAU152" s="224"/>
      <c r="EAV152" s="223"/>
      <c r="EAW152" s="223"/>
      <c r="EAX152" s="223"/>
      <c r="EAY152" s="223"/>
      <c r="EAZ152" s="225"/>
      <c r="EBA152" s="220"/>
      <c r="EBB152" s="221"/>
      <c r="EBC152" s="222"/>
      <c r="EBD152" s="222"/>
      <c r="EBE152" s="223"/>
      <c r="EBF152" s="223"/>
      <c r="EBG152" s="224"/>
      <c r="EBH152" s="223"/>
      <c r="EBI152" s="223"/>
      <c r="EBJ152" s="223"/>
      <c r="EBK152" s="223"/>
      <c r="EBL152" s="225"/>
      <c r="EBM152" s="220"/>
      <c r="EBN152" s="221"/>
      <c r="EBO152" s="222"/>
      <c r="EBP152" s="222"/>
      <c r="EBQ152" s="223"/>
      <c r="EBR152" s="223"/>
      <c r="EBS152" s="224"/>
      <c r="EBT152" s="223"/>
      <c r="EBU152" s="223"/>
      <c r="EBV152" s="223"/>
      <c r="EBW152" s="223"/>
      <c r="EBX152" s="225"/>
      <c r="EBY152" s="220"/>
      <c r="EBZ152" s="221"/>
      <c r="ECA152" s="222"/>
      <c r="ECB152" s="222"/>
      <c r="ECC152" s="223"/>
      <c r="ECD152" s="223"/>
      <c r="ECE152" s="224"/>
      <c r="ECF152" s="223"/>
      <c r="ECG152" s="223"/>
      <c r="ECH152" s="223"/>
      <c r="ECI152" s="223"/>
      <c r="ECJ152" s="225"/>
      <c r="ECK152" s="220"/>
      <c r="ECL152" s="221"/>
      <c r="ECM152" s="222"/>
      <c r="ECN152" s="222"/>
      <c r="ECO152" s="223"/>
      <c r="ECP152" s="223"/>
      <c r="ECQ152" s="224"/>
      <c r="ECR152" s="223"/>
      <c r="ECS152" s="223"/>
      <c r="ECT152" s="223"/>
      <c r="ECU152" s="223"/>
      <c r="ECV152" s="225"/>
      <c r="ECW152" s="220"/>
      <c r="ECX152" s="221"/>
      <c r="ECY152" s="222"/>
      <c r="ECZ152" s="222"/>
      <c r="EDA152" s="223"/>
      <c r="EDB152" s="223"/>
      <c r="EDC152" s="224"/>
      <c r="EDD152" s="223"/>
      <c r="EDE152" s="223"/>
      <c r="EDF152" s="223"/>
      <c r="EDG152" s="223"/>
      <c r="EDH152" s="225"/>
      <c r="EDI152" s="220"/>
      <c r="EDJ152" s="221"/>
      <c r="EDK152" s="222"/>
      <c r="EDL152" s="222"/>
      <c r="EDM152" s="223"/>
      <c r="EDN152" s="223"/>
      <c r="EDO152" s="224"/>
      <c r="EDP152" s="223"/>
      <c r="EDQ152" s="223"/>
      <c r="EDR152" s="223"/>
      <c r="EDS152" s="223"/>
      <c r="EDT152" s="225"/>
      <c r="EDU152" s="220"/>
      <c r="EDV152" s="221"/>
      <c r="EDW152" s="222"/>
      <c r="EDX152" s="222"/>
      <c r="EDY152" s="223"/>
      <c r="EDZ152" s="223"/>
      <c r="EEA152" s="224"/>
      <c r="EEB152" s="223"/>
      <c r="EEC152" s="223"/>
      <c r="EED152" s="223"/>
      <c r="EEE152" s="223"/>
      <c r="EEF152" s="225"/>
      <c r="EEG152" s="220"/>
      <c r="EEH152" s="221"/>
      <c r="EEI152" s="222"/>
      <c r="EEJ152" s="222"/>
      <c r="EEK152" s="223"/>
      <c r="EEL152" s="223"/>
      <c r="EEM152" s="224"/>
      <c r="EEN152" s="223"/>
      <c r="EEO152" s="223"/>
      <c r="EEP152" s="223"/>
      <c r="EEQ152" s="223"/>
      <c r="EER152" s="225"/>
      <c r="EES152" s="220"/>
      <c r="EET152" s="221"/>
      <c r="EEU152" s="222"/>
      <c r="EEV152" s="222"/>
      <c r="EEW152" s="223"/>
      <c r="EEX152" s="223"/>
      <c r="EEY152" s="224"/>
      <c r="EEZ152" s="223"/>
      <c r="EFA152" s="223"/>
      <c r="EFB152" s="223"/>
      <c r="EFC152" s="223"/>
      <c r="EFD152" s="225"/>
      <c r="EFE152" s="220"/>
      <c r="EFF152" s="221"/>
      <c r="EFG152" s="222"/>
      <c r="EFH152" s="222"/>
      <c r="EFI152" s="223"/>
      <c r="EFJ152" s="223"/>
      <c r="EFK152" s="224"/>
      <c r="EFL152" s="223"/>
      <c r="EFM152" s="223"/>
      <c r="EFN152" s="223"/>
      <c r="EFO152" s="223"/>
      <c r="EFP152" s="225"/>
      <c r="EFQ152" s="220"/>
      <c r="EFR152" s="221"/>
      <c r="EFS152" s="222"/>
      <c r="EFT152" s="222"/>
      <c r="EFU152" s="223"/>
      <c r="EFV152" s="223"/>
      <c r="EFW152" s="224"/>
      <c r="EFX152" s="223"/>
      <c r="EFY152" s="223"/>
      <c r="EFZ152" s="223"/>
      <c r="EGA152" s="223"/>
      <c r="EGB152" s="225"/>
      <c r="EGC152" s="220"/>
      <c r="EGD152" s="221"/>
      <c r="EGE152" s="222"/>
      <c r="EGF152" s="222"/>
      <c r="EGG152" s="223"/>
      <c r="EGH152" s="223"/>
      <c r="EGI152" s="224"/>
      <c r="EGJ152" s="223"/>
      <c r="EGK152" s="223"/>
      <c r="EGL152" s="223"/>
      <c r="EGM152" s="223"/>
      <c r="EGN152" s="225"/>
      <c r="EGO152" s="220"/>
      <c r="EGP152" s="221"/>
      <c r="EGQ152" s="222"/>
      <c r="EGR152" s="222"/>
      <c r="EGS152" s="223"/>
      <c r="EGT152" s="223"/>
      <c r="EGU152" s="224"/>
      <c r="EGV152" s="223"/>
      <c r="EGW152" s="223"/>
      <c r="EGX152" s="223"/>
      <c r="EGY152" s="223"/>
      <c r="EGZ152" s="225"/>
      <c r="EHA152" s="220"/>
      <c r="EHB152" s="221"/>
      <c r="EHC152" s="222"/>
      <c r="EHD152" s="222"/>
      <c r="EHE152" s="223"/>
      <c r="EHF152" s="223"/>
      <c r="EHG152" s="224"/>
      <c r="EHH152" s="223"/>
      <c r="EHI152" s="223"/>
      <c r="EHJ152" s="223"/>
      <c r="EHK152" s="223"/>
      <c r="EHL152" s="225"/>
      <c r="EHM152" s="220"/>
      <c r="EHN152" s="221"/>
      <c r="EHO152" s="222"/>
      <c r="EHP152" s="222"/>
      <c r="EHQ152" s="223"/>
      <c r="EHR152" s="223"/>
      <c r="EHS152" s="224"/>
      <c r="EHT152" s="223"/>
      <c r="EHU152" s="223"/>
      <c r="EHV152" s="223"/>
      <c r="EHW152" s="223"/>
      <c r="EHX152" s="225"/>
      <c r="EHY152" s="220"/>
      <c r="EHZ152" s="221"/>
      <c r="EIA152" s="222"/>
      <c r="EIB152" s="222"/>
      <c r="EIC152" s="223"/>
      <c r="EID152" s="223"/>
      <c r="EIE152" s="224"/>
      <c r="EIF152" s="223"/>
      <c r="EIG152" s="223"/>
      <c r="EIH152" s="223"/>
      <c r="EII152" s="223"/>
      <c r="EIJ152" s="225"/>
      <c r="EIK152" s="220"/>
      <c r="EIL152" s="221"/>
      <c r="EIM152" s="222"/>
      <c r="EIN152" s="222"/>
      <c r="EIO152" s="223"/>
      <c r="EIP152" s="223"/>
      <c r="EIQ152" s="224"/>
      <c r="EIR152" s="223"/>
      <c r="EIS152" s="223"/>
      <c r="EIT152" s="223"/>
      <c r="EIU152" s="223"/>
      <c r="EIV152" s="225"/>
      <c r="EIW152" s="220"/>
      <c r="EIX152" s="221"/>
      <c r="EIY152" s="222"/>
      <c r="EIZ152" s="222"/>
      <c r="EJA152" s="223"/>
      <c r="EJB152" s="223"/>
      <c r="EJC152" s="224"/>
      <c r="EJD152" s="223"/>
      <c r="EJE152" s="223"/>
      <c r="EJF152" s="223"/>
      <c r="EJG152" s="223"/>
      <c r="EJH152" s="225"/>
      <c r="EJI152" s="220"/>
      <c r="EJJ152" s="221"/>
      <c r="EJK152" s="222"/>
      <c r="EJL152" s="222"/>
      <c r="EJM152" s="223"/>
      <c r="EJN152" s="223"/>
      <c r="EJO152" s="224"/>
      <c r="EJP152" s="223"/>
      <c r="EJQ152" s="223"/>
      <c r="EJR152" s="223"/>
      <c r="EJS152" s="223"/>
      <c r="EJT152" s="225"/>
      <c r="EJU152" s="220"/>
      <c r="EJV152" s="221"/>
      <c r="EJW152" s="222"/>
      <c r="EJX152" s="222"/>
      <c r="EJY152" s="223"/>
      <c r="EJZ152" s="223"/>
      <c r="EKA152" s="224"/>
      <c r="EKB152" s="223"/>
      <c r="EKC152" s="223"/>
      <c r="EKD152" s="223"/>
      <c r="EKE152" s="223"/>
      <c r="EKF152" s="225"/>
      <c r="EKG152" s="220"/>
      <c r="EKH152" s="221"/>
      <c r="EKI152" s="222"/>
      <c r="EKJ152" s="222"/>
      <c r="EKK152" s="223"/>
      <c r="EKL152" s="223"/>
      <c r="EKM152" s="224"/>
      <c r="EKN152" s="223"/>
      <c r="EKO152" s="223"/>
      <c r="EKP152" s="223"/>
      <c r="EKQ152" s="223"/>
      <c r="EKR152" s="225"/>
      <c r="EKS152" s="220"/>
      <c r="EKT152" s="221"/>
      <c r="EKU152" s="222"/>
      <c r="EKV152" s="222"/>
      <c r="EKW152" s="223"/>
      <c r="EKX152" s="223"/>
      <c r="EKY152" s="224"/>
      <c r="EKZ152" s="223"/>
      <c r="ELA152" s="223"/>
      <c r="ELB152" s="223"/>
      <c r="ELC152" s="223"/>
      <c r="ELD152" s="225"/>
      <c r="ELE152" s="220"/>
      <c r="ELF152" s="221"/>
      <c r="ELG152" s="222"/>
      <c r="ELH152" s="222"/>
      <c r="ELI152" s="223"/>
      <c r="ELJ152" s="223"/>
      <c r="ELK152" s="224"/>
      <c r="ELL152" s="223"/>
      <c r="ELM152" s="223"/>
      <c r="ELN152" s="223"/>
      <c r="ELO152" s="223"/>
      <c r="ELP152" s="225"/>
      <c r="ELQ152" s="220"/>
      <c r="ELR152" s="221"/>
      <c r="ELS152" s="222"/>
      <c r="ELT152" s="222"/>
      <c r="ELU152" s="223"/>
      <c r="ELV152" s="223"/>
      <c r="ELW152" s="224"/>
      <c r="ELX152" s="223"/>
      <c r="ELY152" s="223"/>
      <c r="ELZ152" s="223"/>
      <c r="EMA152" s="223"/>
      <c r="EMB152" s="225"/>
      <c r="EMC152" s="220"/>
      <c r="EMD152" s="221"/>
      <c r="EME152" s="222"/>
      <c r="EMF152" s="222"/>
      <c r="EMG152" s="223"/>
      <c r="EMH152" s="223"/>
      <c r="EMI152" s="224"/>
      <c r="EMJ152" s="223"/>
      <c r="EMK152" s="223"/>
      <c r="EML152" s="223"/>
      <c r="EMM152" s="223"/>
      <c r="EMN152" s="225"/>
      <c r="EMO152" s="220"/>
      <c r="EMP152" s="221"/>
      <c r="EMQ152" s="222"/>
      <c r="EMR152" s="222"/>
      <c r="EMS152" s="223"/>
      <c r="EMT152" s="223"/>
      <c r="EMU152" s="224"/>
      <c r="EMV152" s="223"/>
      <c r="EMW152" s="223"/>
      <c r="EMX152" s="223"/>
      <c r="EMY152" s="223"/>
      <c r="EMZ152" s="225"/>
      <c r="ENA152" s="220"/>
      <c r="ENB152" s="221"/>
      <c r="ENC152" s="222"/>
      <c r="END152" s="222"/>
      <c r="ENE152" s="223"/>
      <c r="ENF152" s="223"/>
      <c r="ENG152" s="224"/>
      <c r="ENH152" s="223"/>
      <c r="ENI152" s="223"/>
      <c r="ENJ152" s="223"/>
      <c r="ENK152" s="223"/>
      <c r="ENL152" s="225"/>
      <c r="ENM152" s="220"/>
      <c r="ENN152" s="221"/>
      <c r="ENO152" s="222"/>
      <c r="ENP152" s="222"/>
      <c r="ENQ152" s="223"/>
      <c r="ENR152" s="223"/>
      <c r="ENS152" s="224"/>
      <c r="ENT152" s="223"/>
      <c r="ENU152" s="223"/>
      <c r="ENV152" s="223"/>
      <c r="ENW152" s="223"/>
      <c r="ENX152" s="225"/>
      <c r="ENY152" s="220"/>
      <c r="ENZ152" s="221"/>
      <c r="EOA152" s="222"/>
      <c r="EOB152" s="222"/>
      <c r="EOC152" s="223"/>
      <c r="EOD152" s="223"/>
      <c r="EOE152" s="224"/>
      <c r="EOF152" s="223"/>
      <c r="EOG152" s="223"/>
      <c r="EOH152" s="223"/>
      <c r="EOI152" s="223"/>
      <c r="EOJ152" s="225"/>
      <c r="EOK152" s="220"/>
      <c r="EOL152" s="221"/>
      <c r="EOM152" s="222"/>
      <c r="EON152" s="222"/>
      <c r="EOO152" s="223"/>
      <c r="EOP152" s="223"/>
      <c r="EOQ152" s="224"/>
      <c r="EOR152" s="223"/>
      <c r="EOS152" s="223"/>
      <c r="EOT152" s="223"/>
      <c r="EOU152" s="223"/>
      <c r="EOV152" s="225"/>
      <c r="EOW152" s="220"/>
      <c r="EOX152" s="221"/>
      <c r="EOY152" s="222"/>
      <c r="EOZ152" s="222"/>
      <c r="EPA152" s="223"/>
      <c r="EPB152" s="223"/>
      <c r="EPC152" s="224"/>
      <c r="EPD152" s="223"/>
      <c r="EPE152" s="223"/>
      <c r="EPF152" s="223"/>
      <c r="EPG152" s="223"/>
      <c r="EPH152" s="225"/>
      <c r="EPI152" s="220"/>
      <c r="EPJ152" s="221"/>
      <c r="EPK152" s="222"/>
      <c r="EPL152" s="222"/>
      <c r="EPM152" s="223"/>
      <c r="EPN152" s="223"/>
      <c r="EPO152" s="224"/>
      <c r="EPP152" s="223"/>
      <c r="EPQ152" s="223"/>
      <c r="EPR152" s="223"/>
      <c r="EPS152" s="223"/>
      <c r="EPT152" s="225"/>
      <c r="EPU152" s="220"/>
      <c r="EPV152" s="221"/>
      <c r="EPW152" s="222"/>
      <c r="EPX152" s="222"/>
      <c r="EPY152" s="223"/>
      <c r="EPZ152" s="223"/>
      <c r="EQA152" s="224"/>
      <c r="EQB152" s="223"/>
      <c r="EQC152" s="223"/>
      <c r="EQD152" s="223"/>
      <c r="EQE152" s="223"/>
      <c r="EQF152" s="225"/>
      <c r="EQG152" s="220"/>
      <c r="EQH152" s="221"/>
      <c r="EQI152" s="222"/>
      <c r="EQJ152" s="222"/>
      <c r="EQK152" s="223"/>
      <c r="EQL152" s="223"/>
      <c r="EQM152" s="224"/>
      <c r="EQN152" s="223"/>
      <c r="EQO152" s="223"/>
      <c r="EQP152" s="223"/>
      <c r="EQQ152" s="223"/>
      <c r="EQR152" s="225"/>
      <c r="EQS152" s="220"/>
      <c r="EQT152" s="221"/>
      <c r="EQU152" s="222"/>
      <c r="EQV152" s="222"/>
      <c r="EQW152" s="223"/>
      <c r="EQX152" s="223"/>
      <c r="EQY152" s="224"/>
      <c r="EQZ152" s="223"/>
      <c r="ERA152" s="223"/>
      <c r="ERB152" s="223"/>
      <c r="ERC152" s="223"/>
      <c r="ERD152" s="225"/>
      <c r="ERE152" s="220"/>
      <c r="ERF152" s="221"/>
      <c r="ERG152" s="222"/>
      <c r="ERH152" s="222"/>
      <c r="ERI152" s="223"/>
      <c r="ERJ152" s="223"/>
      <c r="ERK152" s="224"/>
      <c r="ERL152" s="223"/>
      <c r="ERM152" s="223"/>
      <c r="ERN152" s="223"/>
      <c r="ERO152" s="223"/>
      <c r="ERP152" s="225"/>
      <c r="ERQ152" s="220"/>
      <c r="ERR152" s="221"/>
      <c r="ERS152" s="222"/>
      <c r="ERT152" s="222"/>
      <c r="ERU152" s="223"/>
      <c r="ERV152" s="223"/>
      <c r="ERW152" s="224"/>
      <c r="ERX152" s="223"/>
      <c r="ERY152" s="223"/>
      <c r="ERZ152" s="223"/>
      <c r="ESA152" s="223"/>
      <c r="ESB152" s="225"/>
      <c r="ESC152" s="220"/>
      <c r="ESD152" s="221"/>
      <c r="ESE152" s="222"/>
      <c r="ESF152" s="222"/>
      <c r="ESG152" s="223"/>
      <c r="ESH152" s="223"/>
      <c r="ESI152" s="224"/>
      <c r="ESJ152" s="223"/>
      <c r="ESK152" s="223"/>
      <c r="ESL152" s="223"/>
      <c r="ESM152" s="223"/>
      <c r="ESN152" s="225"/>
      <c r="ESO152" s="220"/>
      <c r="ESP152" s="221"/>
      <c r="ESQ152" s="222"/>
      <c r="ESR152" s="222"/>
      <c r="ESS152" s="223"/>
      <c r="EST152" s="223"/>
      <c r="ESU152" s="224"/>
      <c r="ESV152" s="223"/>
      <c r="ESW152" s="223"/>
      <c r="ESX152" s="223"/>
      <c r="ESY152" s="223"/>
      <c r="ESZ152" s="225"/>
      <c r="ETA152" s="220"/>
      <c r="ETB152" s="221"/>
      <c r="ETC152" s="222"/>
      <c r="ETD152" s="222"/>
      <c r="ETE152" s="223"/>
      <c r="ETF152" s="223"/>
      <c r="ETG152" s="224"/>
      <c r="ETH152" s="223"/>
      <c r="ETI152" s="223"/>
      <c r="ETJ152" s="223"/>
      <c r="ETK152" s="223"/>
      <c r="ETL152" s="225"/>
      <c r="ETM152" s="220"/>
      <c r="ETN152" s="221"/>
      <c r="ETO152" s="222"/>
      <c r="ETP152" s="222"/>
      <c r="ETQ152" s="223"/>
      <c r="ETR152" s="223"/>
      <c r="ETS152" s="224"/>
      <c r="ETT152" s="223"/>
      <c r="ETU152" s="223"/>
      <c r="ETV152" s="223"/>
      <c r="ETW152" s="223"/>
      <c r="ETX152" s="225"/>
      <c r="ETY152" s="220"/>
      <c r="ETZ152" s="221"/>
      <c r="EUA152" s="222"/>
      <c r="EUB152" s="222"/>
      <c r="EUC152" s="223"/>
      <c r="EUD152" s="223"/>
      <c r="EUE152" s="224"/>
      <c r="EUF152" s="223"/>
      <c r="EUG152" s="223"/>
      <c r="EUH152" s="223"/>
      <c r="EUI152" s="223"/>
      <c r="EUJ152" s="225"/>
      <c r="EUK152" s="220"/>
      <c r="EUL152" s="221"/>
      <c r="EUM152" s="222"/>
      <c r="EUN152" s="222"/>
      <c r="EUO152" s="223"/>
      <c r="EUP152" s="223"/>
      <c r="EUQ152" s="224"/>
      <c r="EUR152" s="223"/>
      <c r="EUS152" s="223"/>
      <c r="EUT152" s="223"/>
      <c r="EUU152" s="223"/>
      <c r="EUV152" s="225"/>
      <c r="EUW152" s="220"/>
      <c r="EUX152" s="221"/>
      <c r="EUY152" s="222"/>
      <c r="EUZ152" s="222"/>
      <c r="EVA152" s="223"/>
      <c r="EVB152" s="223"/>
      <c r="EVC152" s="224"/>
      <c r="EVD152" s="223"/>
      <c r="EVE152" s="223"/>
      <c r="EVF152" s="223"/>
      <c r="EVG152" s="223"/>
      <c r="EVH152" s="225"/>
      <c r="EVI152" s="220"/>
      <c r="EVJ152" s="221"/>
      <c r="EVK152" s="222"/>
      <c r="EVL152" s="222"/>
      <c r="EVM152" s="223"/>
      <c r="EVN152" s="223"/>
      <c r="EVO152" s="224"/>
      <c r="EVP152" s="223"/>
      <c r="EVQ152" s="223"/>
      <c r="EVR152" s="223"/>
      <c r="EVS152" s="223"/>
      <c r="EVT152" s="225"/>
      <c r="EVU152" s="220"/>
      <c r="EVV152" s="221"/>
      <c r="EVW152" s="222"/>
      <c r="EVX152" s="222"/>
      <c r="EVY152" s="223"/>
      <c r="EVZ152" s="223"/>
      <c r="EWA152" s="224"/>
      <c r="EWB152" s="223"/>
      <c r="EWC152" s="223"/>
      <c r="EWD152" s="223"/>
      <c r="EWE152" s="223"/>
      <c r="EWF152" s="225"/>
      <c r="EWG152" s="220"/>
      <c r="EWH152" s="221"/>
      <c r="EWI152" s="222"/>
      <c r="EWJ152" s="222"/>
      <c r="EWK152" s="223"/>
      <c r="EWL152" s="223"/>
      <c r="EWM152" s="224"/>
      <c r="EWN152" s="223"/>
      <c r="EWO152" s="223"/>
      <c r="EWP152" s="223"/>
      <c r="EWQ152" s="223"/>
      <c r="EWR152" s="225"/>
      <c r="EWS152" s="220"/>
      <c r="EWT152" s="221"/>
      <c r="EWU152" s="222"/>
      <c r="EWV152" s="222"/>
      <c r="EWW152" s="223"/>
      <c r="EWX152" s="223"/>
      <c r="EWY152" s="224"/>
      <c r="EWZ152" s="223"/>
      <c r="EXA152" s="223"/>
      <c r="EXB152" s="223"/>
      <c r="EXC152" s="223"/>
      <c r="EXD152" s="225"/>
      <c r="EXE152" s="220"/>
      <c r="EXF152" s="221"/>
      <c r="EXG152" s="222"/>
      <c r="EXH152" s="222"/>
      <c r="EXI152" s="223"/>
      <c r="EXJ152" s="223"/>
      <c r="EXK152" s="224"/>
      <c r="EXL152" s="223"/>
      <c r="EXM152" s="223"/>
      <c r="EXN152" s="223"/>
      <c r="EXO152" s="223"/>
      <c r="EXP152" s="225"/>
      <c r="EXQ152" s="220"/>
      <c r="EXR152" s="221"/>
      <c r="EXS152" s="222"/>
      <c r="EXT152" s="222"/>
      <c r="EXU152" s="223"/>
      <c r="EXV152" s="223"/>
      <c r="EXW152" s="224"/>
      <c r="EXX152" s="223"/>
      <c r="EXY152" s="223"/>
      <c r="EXZ152" s="223"/>
      <c r="EYA152" s="223"/>
      <c r="EYB152" s="225"/>
      <c r="EYC152" s="220"/>
      <c r="EYD152" s="221"/>
      <c r="EYE152" s="222"/>
      <c r="EYF152" s="222"/>
      <c r="EYG152" s="223"/>
      <c r="EYH152" s="223"/>
      <c r="EYI152" s="224"/>
      <c r="EYJ152" s="223"/>
      <c r="EYK152" s="223"/>
      <c r="EYL152" s="223"/>
      <c r="EYM152" s="223"/>
      <c r="EYN152" s="225"/>
      <c r="EYO152" s="220"/>
      <c r="EYP152" s="221"/>
      <c r="EYQ152" s="222"/>
      <c r="EYR152" s="222"/>
      <c r="EYS152" s="223"/>
      <c r="EYT152" s="223"/>
      <c r="EYU152" s="224"/>
      <c r="EYV152" s="223"/>
      <c r="EYW152" s="223"/>
      <c r="EYX152" s="223"/>
      <c r="EYY152" s="223"/>
      <c r="EYZ152" s="225"/>
      <c r="EZA152" s="220"/>
      <c r="EZB152" s="221"/>
      <c r="EZC152" s="222"/>
      <c r="EZD152" s="222"/>
      <c r="EZE152" s="223"/>
      <c r="EZF152" s="223"/>
      <c r="EZG152" s="224"/>
      <c r="EZH152" s="223"/>
      <c r="EZI152" s="223"/>
      <c r="EZJ152" s="223"/>
      <c r="EZK152" s="223"/>
      <c r="EZL152" s="225"/>
      <c r="EZM152" s="220"/>
      <c r="EZN152" s="221"/>
      <c r="EZO152" s="222"/>
      <c r="EZP152" s="222"/>
      <c r="EZQ152" s="223"/>
      <c r="EZR152" s="223"/>
      <c r="EZS152" s="224"/>
      <c r="EZT152" s="223"/>
      <c r="EZU152" s="223"/>
      <c r="EZV152" s="223"/>
      <c r="EZW152" s="223"/>
      <c r="EZX152" s="225"/>
      <c r="EZY152" s="220"/>
      <c r="EZZ152" s="221"/>
      <c r="FAA152" s="222"/>
      <c r="FAB152" s="222"/>
      <c r="FAC152" s="223"/>
      <c r="FAD152" s="223"/>
      <c r="FAE152" s="224"/>
      <c r="FAF152" s="223"/>
      <c r="FAG152" s="223"/>
      <c r="FAH152" s="223"/>
      <c r="FAI152" s="223"/>
      <c r="FAJ152" s="225"/>
      <c r="FAK152" s="220"/>
      <c r="FAL152" s="221"/>
      <c r="FAM152" s="222"/>
      <c r="FAN152" s="222"/>
      <c r="FAO152" s="223"/>
      <c r="FAP152" s="223"/>
      <c r="FAQ152" s="224"/>
      <c r="FAR152" s="223"/>
      <c r="FAS152" s="223"/>
      <c r="FAT152" s="223"/>
      <c r="FAU152" s="223"/>
      <c r="FAV152" s="225"/>
      <c r="FAW152" s="220"/>
      <c r="FAX152" s="221"/>
      <c r="FAY152" s="222"/>
      <c r="FAZ152" s="222"/>
      <c r="FBA152" s="223"/>
      <c r="FBB152" s="223"/>
      <c r="FBC152" s="224"/>
      <c r="FBD152" s="223"/>
      <c r="FBE152" s="223"/>
      <c r="FBF152" s="223"/>
      <c r="FBG152" s="223"/>
      <c r="FBH152" s="225"/>
      <c r="FBI152" s="220"/>
      <c r="FBJ152" s="221"/>
      <c r="FBK152" s="222"/>
      <c r="FBL152" s="222"/>
      <c r="FBM152" s="223"/>
      <c r="FBN152" s="223"/>
      <c r="FBO152" s="224"/>
      <c r="FBP152" s="223"/>
      <c r="FBQ152" s="223"/>
      <c r="FBR152" s="223"/>
      <c r="FBS152" s="223"/>
      <c r="FBT152" s="225"/>
      <c r="FBU152" s="220"/>
      <c r="FBV152" s="221"/>
      <c r="FBW152" s="222"/>
      <c r="FBX152" s="222"/>
      <c r="FBY152" s="223"/>
      <c r="FBZ152" s="223"/>
      <c r="FCA152" s="224"/>
      <c r="FCB152" s="223"/>
      <c r="FCC152" s="223"/>
      <c r="FCD152" s="223"/>
      <c r="FCE152" s="223"/>
      <c r="FCF152" s="225"/>
      <c r="FCG152" s="220"/>
      <c r="FCH152" s="221"/>
      <c r="FCI152" s="222"/>
      <c r="FCJ152" s="222"/>
      <c r="FCK152" s="223"/>
      <c r="FCL152" s="223"/>
      <c r="FCM152" s="224"/>
      <c r="FCN152" s="223"/>
      <c r="FCO152" s="223"/>
      <c r="FCP152" s="223"/>
      <c r="FCQ152" s="223"/>
      <c r="FCR152" s="225"/>
      <c r="FCS152" s="220"/>
      <c r="FCT152" s="221"/>
      <c r="FCU152" s="222"/>
      <c r="FCV152" s="222"/>
      <c r="FCW152" s="223"/>
      <c r="FCX152" s="223"/>
      <c r="FCY152" s="224"/>
      <c r="FCZ152" s="223"/>
      <c r="FDA152" s="223"/>
      <c r="FDB152" s="223"/>
      <c r="FDC152" s="223"/>
      <c r="FDD152" s="225"/>
      <c r="FDE152" s="220"/>
      <c r="FDF152" s="221"/>
      <c r="FDG152" s="222"/>
      <c r="FDH152" s="222"/>
      <c r="FDI152" s="223"/>
      <c r="FDJ152" s="223"/>
      <c r="FDK152" s="224"/>
      <c r="FDL152" s="223"/>
      <c r="FDM152" s="223"/>
      <c r="FDN152" s="223"/>
      <c r="FDO152" s="223"/>
      <c r="FDP152" s="225"/>
      <c r="FDQ152" s="220"/>
      <c r="FDR152" s="221"/>
      <c r="FDS152" s="222"/>
      <c r="FDT152" s="222"/>
      <c r="FDU152" s="223"/>
      <c r="FDV152" s="223"/>
      <c r="FDW152" s="224"/>
      <c r="FDX152" s="223"/>
      <c r="FDY152" s="223"/>
      <c r="FDZ152" s="223"/>
      <c r="FEA152" s="223"/>
      <c r="FEB152" s="225"/>
      <c r="FEC152" s="220"/>
      <c r="FED152" s="221"/>
      <c r="FEE152" s="222"/>
      <c r="FEF152" s="222"/>
      <c r="FEG152" s="223"/>
      <c r="FEH152" s="223"/>
      <c r="FEI152" s="224"/>
      <c r="FEJ152" s="223"/>
      <c r="FEK152" s="223"/>
      <c r="FEL152" s="223"/>
      <c r="FEM152" s="223"/>
      <c r="FEN152" s="225"/>
      <c r="FEO152" s="220"/>
      <c r="FEP152" s="221"/>
      <c r="FEQ152" s="222"/>
      <c r="FER152" s="222"/>
      <c r="FES152" s="223"/>
      <c r="FET152" s="223"/>
      <c r="FEU152" s="224"/>
      <c r="FEV152" s="223"/>
      <c r="FEW152" s="223"/>
      <c r="FEX152" s="223"/>
      <c r="FEY152" s="223"/>
      <c r="FEZ152" s="225"/>
      <c r="FFA152" s="220"/>
      <c r="FFB152" s="221"/>
      <c r="FFC152" s="222"/>
      <c r="FFD152" s="222"/>
      <c r="FFE152" s="223"/>
      <c r="FFF152" s="223"/>
      <c r="FFG152" s="224"/>
      <c r="FFH152" s="223"/>
      <c r="FFI152" s="223"/>
      <c r="FFJ152" s="223"/>
      <c r="FFK152" s="223"/>
      <c r="FFL152" s="225"/>
      <c r="FFM152" s="220"/>
      <c r="FFN152" s="221"/>
      <c r="FFO152" s="222"/>
      <c r="FFP152" s="222"/>
      <c r="FFQ152" s="223"/>
      <c r="FFR152" s="223"/>
      <c r="FFS152" s="224"/>
      <c r="FFT152" s="223"/>
      <c r="FFU152" s="223"/>
      <c r="FFV152" s="223"/>
      <c r="FFW152" s="223"/>
      <c r="FFX152" s="225"/>
      <c r="FFY152" s="220"/>
      <c r="FFZ152" s="221"/>
      <c r="FGA152" s="222"/>
      <c r="FGB152" s="222"/>
      <c r="FGC152" s="223"/>
      <c r="FGD152" s="223"/>
      <c r="FGE152" s="224"/>
      <c r="FGF152" s="223"/>
      <c r="FGG152" s="223"/>
      <c r="FGH152" s="223"/>
      <c r="FGI152" s="223"/>
      <c r="FGJ152" s="225"/>
      <c r="FGK152" s="220"/>
      <c r="FGL152" s="221"/>
      <c r="FGM152" s="222"/>
      <c r="FGN152" s="222"/>
      <c r="FGO152" s="223"/>
      <c r="FGP152" s="223"/>
      <c r="FGQ152" s="224"/>
      <c r="FGR152" s="223"/>
      <c r="FGS152" s="223"/>
      <c r="FGT152" s="223"/>
      <c r="FGU152" s="223"/>
      <c r="FGV152" s="225"/>
      <c r="FGW152" s="220"/>
      <c r="FGX152" s="221"/>
      <c r="FGY152" s="222"/>
      <c r="FGZ152" s="222"/>
      <c r="FHA152" s="223"/>
      <c r="FHB152" s="223"/>
      <c r="FHC152" s="224"/>
      <c r="FHD152" s="223"/>
      <c r="FHE152" s="223"/>
      <c r="FHF152" s="223"/>
      <c r="FHG152" s="223"/>
      <c r="FHH152" s="225"/>
      <c r="FHI152" s="220"/>
      <c r="FHJ152" s="221"/>
      <c r="FHK152" s="222"/>
      <c r="FHL152" s="222"/>
      <c r="FHM152" s="223"/>
      <c r="FHN152" s="223"/>
      <c r="FHO152" s="224"/>
      <c r="FHP152" s="223"/>
      <c r="FHQ152" s="223"/>
      <c r="FHR152" s="223"/>
      <c r="FHS152" s="223"/>
      <c r="FHT152" s="225"/>
      <c r="FHU152" s="220"/>
      <c r="FHV152" s="221"/>
      <c r="FHW152" s="222"/>
      <c r="FHX152" s="222"/>
      <c r="FHY152" s="223"/>
      <c r="FHZ152" s="223"/>
      <c r="FIA152" s="224"/>
      <c r="FIB152" s="223"/>
      <c r="FIC152" s="223"/>
      <c r="FID152" s="223"/>
      <c r="FIE152" s="223"/>
      <c r="FIF152" s="225"/>
      <c r="FIG152" s="220"/>
      <c r="FIH152" s="221"/>
      <c r="FII152" s="222"/>
      <c r="FIJ152" s="222"/>
      <c r="FIK152" s="223"/>
      <c r="FIL152" s="223"/>
      <c r="FIM152" s="224"/>
      <c r="FIN152" s="223"/>
      <c r="FIO152" s="223"/>
      <c r="FIP152" s="223"/>
      <c r="FIQ152" s="223"/>
      <c r="FIR152" s="225"/>
      <c r="FIS152" s="220"/>
      <c r="FIT152" s="221"/>
      <c r="FIU152" s="222"/>
      <c r="FIV152" s="222"/>
      <c r="FIW152" s="223"/>
      <c r="FIX152" s="223"/>
      <c r="FIY152" s="224"/>
      <c r="FIZ152" s="223"/>
      <c r="FJA152" s="223"/>
      <c r="FJB152" s="223"/>
      <c r="FJC152" s="223"/>
      <c r="FJD152" s="225"/>
      <c r="FJE152" s="220"/>
      <c r="FJF152" s="221"/>
      <c r="FJG152" s="222"/>
      <c r="FJH152" s="222"/>
      <c r="FJI152" s="223"/>
      <c r="FJJ152" s="223"/>
      <c r="FJK152" s="224"/>
      <c r="FJL152" s="223"/>
      <c r="FJM152" s="223"/>
      <c r="FJN152" s="223"/>
      <c r="FJO152" s="223"/>
      <c r="FJP152" s="225"/>
      <c r="FJQ152" s="220"/>
      <c r="FJR152" s="221"/>
      <c r="FJS152" s="222"/>
      <c r="FJT152" s="222"/>
      <c r="FJU152" s="223"/>
      <c r="FJV152" s="223"/>
      <c r="FJW152" s="224"/>
      <c r="FJX152" s="223"/>
      <c r="FJY152" s="223"/>
      <c r="FJZ152" s="223"/>
      <c r="FKA152" s="223"/>
      <c r="FKB152" s="225"/>
      <c r="FKC152" s="220"/>
      <c r="FKD152" s="221"/>
      <c r="FKE152" s="222"/>
      <c r="FKF152" s="222"/>
      <c r="FKG152" s="223"/>
      <c r="FKH152" s="223"/>
      <c r="FKI152" s="224"/>
      <c r="FKJ152" s="223"/>
      <c r="FKK152" s="223"/>
      <c r="FKL152" s="223"/>
      <c r="FKM152" s="223"/>
      <c r="FKN152" s="225"/>
      <c r="FKO152" s="220"/>
      <c r="FKP152" s="221"/>
      <c r="FKQ152" s="222"/>
      <c r="FKR152" s="222"/>
      <c r="FKS152" s="223"/>
      <c r="FKT152" s="223"/>
      <c r="FKU152" s="224"/>
      <c r="FKV152" s="223"/>
      <c r="FKW152" s="223"/>
      <c r="FKX152" s="223"/>
      <c r="FKY152" s="223"/>
      <c r="FKZ152" s="225"/>
      <c r="FLA152" s="220"/>
      <c r="FLB152" s="221"/>
      <c r="FLC152" s="222"/>
      <c r="FLD152" s="222"/>
      <c r="FLE152" s="223"/>
      <c r="FLF152" s="223"/>
      <c r="FLG152" s="224"/>
      <c r="FLH152" s="223"/>
      <c r="FLI152" s="223"/>
      <c r="FLJ152" s="223"/>
      <c r="FLK152" s="223"/>
      <c r="FLL152" s="225"/>
      <c r="FLM152" s="220"/>
      <c r="FLN152" s="221"/>
      <c r="FLO152" s="222"/>
      <c r="FLP152" s="222"/>
      <c r="FLQ152" s="223"/>
      <c r="FLR152" s="223"/>
      <c r="FLS152" s="224"/>
      <c r="FLT152" s="223"/>
      <c r="FLU152" s="223"/>
      <c r="FLV152" s="223"/>
      <c r="FLW152" s="223"/>
      <c r="FLX152" s="225"/>
      <c r="FLY152" s="220"/>
      <c r="FLZ152" s="221"/>
      <c r="FMA152" s="222"/>
      <c r="FMB152" s="222"/>
      <c r="FMC152" s="223"/>
      <c r="FMD152" s="223"/>
      <c r="FME152" s="224"/>
      <c r="FMF152" s="223"/>
      <c r="FMG152" s="223"/>
      <c r="FMH152" s="223"/>
      <c r="FMI152" s="223"/>
      <c r="FMJ152" s="225"/>
      <c r="FMK152" s="220"/>
      <c r="FML152" s="221"/>
      <c r="FMM152" s="222"/>
      <c r="FMN152" s="222"/>
      <c r="FMO152" s="223"/>
      <c r="FMP152" s="223"/>
      <c r="FMQ152" s="224"/>
      <c r="FMR152" s="223"/>
      <c r="FMS152" s="223"/>
      <c r="FMT152" s="223"/>
      <c r="FMU152" s="223"/>
      <c r="FMV152" s="225"/>
      <c r="FMW152" s="220"/>
      <c r="FMX152" s="221"/>
      <c r="FMY152" s="222"/>
      <c r="FMZ152" s="222"/>
      <c r="FNA152" s="223"/>
      <c r="FNB152" s="223"/>
      <c r="FNC152" s="224"/>
      <c r="FND152" s="223"/>
      <c r="FNE152" s="223"/>
      <c r="FNF152" s="223"/>
      <c r="FNG152" s="223"/>
      <c r="FNH152" s="225"/>
      <c r="FNI152" s="220"/>
      <c r="FNJ152" s="221"/>
      <c r="FNK152" s="222"/>
      <c r="FNL152" s="222"/>
      <c r="FNM152" s="223"/>
      <c r="FNN152" s="223"/>
      <c r="FNO152" s="224"/>
      <c r="FNP152" s="223"/>
      <c r="FNQ152" s="223"/>
      <c r="FNR152" s="223"/>
      <c r="FNS152" s="223"/>
      <c r="FNT152" s="225"/>
      <c r="FNU152" s="220"/>
      <c r="FNV152" s="221"/>
      <c r="FNW152" s="222"/>
      <c r="FNX152" s="222"/>
      <c r="FNY152" s="223"/>
      <c r="FNZ152" s="223"/>
      <c r="FOA152" s="224"/>
      <c r="FOB152" s="223"/>
      <c r="FOC152" s="223"/>
      <c r="FOD152" s="223"/>
      <c r="FOE152" s="223"/>
      <c r="FOF152" s="225"/>
      <c r="FOG152" s="220"/>
      <c r="FOH152" s="221"/>
      <c r="FOI152" s="222"/>
      <c r="FOJ152" s="222"/>
      <c r="FOK152" s="223"/>
      <c r="FOL152" s="223"/>
      <c r="FOM152" s="224"/>
      <c r="FON152" s="223"/>
      <c r="FOO152" s="223"/>
      <c r="FOP152" s="223"/>
      <c r="FOQ152" s="223"/>
      <c r="FOR152" s="225"/>
      <c r="FOS152" s="220"/>
      <c r="FOT152" s="221"/>
      <c r="FOU152" s="222"/>
      <c r="FOV152" s="222"/>
      <c r="FOW152" s="223"/>
      <c r="FOX152" s="223"/>
      <c r="FOY152" s="224"/>
      <c r="FOZ152" s="223"/>
      <c r="FPA152" s="223"/>
      <c r="FPB152" s="223"/>
      <c r="FPC152" s="223"/>
      <c r="FPD152" s="225"/>
      <c r="FPE152" s="220"/>
      <c r="FPF152" s="221"/>
      <c r="FPG152" s="222"/>
      <c r="FPH152" s="222"/>
      <c r="FPI152" s="223"/>
      <c r="FPJ152" s="223"/>
      <c r="FPK152" s="224"/>
      <c r="FPL152" s="223"/>
      <c r="FPM152" s="223"/>
      <c r="FPN152" s="223"/>
      <c r="FPO152" s="223"/>
      <c r="FPP152" s="225"/>
      <c r="FPQ152" s="220"/>
      <c r="FPR152" s="221"/>
      <c r="FPS152" s="222"/>
      <c r="FPT152" s="222"/>
      <c r="FPU152" s="223"/>
      <c r="FPV152" s="223"/>
      <c r="FPW152" s="224"/>
      <c r="FPX152" s="223"/>
      <c r="FPY152" s="223"/>
      <c r="FPZ152" s="223"/>
      <c r="FQA152" s="223"/>
      <c r="FQB152" s="225"/>
      <c r="FQC152" s="220"/>
      <c r="FQD152" s="221"/>
      <c r="FQE152" s="222"/>
      <c r="FQF152" s="222"/>
      <c r="FQG152" s="223"/>
      <c r="FQH152" s="223"/>
      <c r="FQI152" s="224"/>
      <c r="FQJ152" s="223"/>
      <c r="FQK152" s="223"/>
      <c r="FQL152" s="223"/>
      <c r="FQM152" s="223"/>
      <c r="FQN152" s="225"/>
      <c r="FQO152" s="220"/>
      <c r="FQP152" s="221"/>
      <c r="FQQ152" s="222"/>
      <c r="FQR152" s="222"/>
      <c r="FQS152" s="223"/>
      <c r="FQT152" s="223"/>
      <c r="FQU152" s="224"/>
      <c r="FQV152" s="223"/>
      <c r="FQW152" s="223"/>
      <c r="FQX152" s="223"/>
      <c r="FQY152" s="223"/>
      <c r="FQZ152" s="225"/>
      <c r="FRA152" s="220"/>
      <c r="FRB152" s="221"/>
      <c r="FRC152" s="222"/>
      <c r="FRD152" s="222"/>
      <c r="FRE152" s="223"/>
      <c r="FRF152" s="223"/>
      <c r="FRG152" s="224"/>
      <c r="FRH152" s="223"/>
      <c r="FRI152" s="223"/>
      <c r="FRJ152" s="223"/>
      <c r="FRK152" s="223"/>
      <c r="FRL152" s="225"/>
      <c r="FRM152" s="220"/>
      <c r="FRN152" s="221"/>
      <c r="FRO152" s="222"/>
      <c r="FRP152" s="222"/>
      <c r="FRQ152" s="223"/>
      <c r="FRR152" s="223"/>
      <c r="FRS152" s="224"/>
      <c r="FRT152" s="223"/>
      <c r="FRU152" s="223"/>
      <c r="FRV152" s="223"/>
      <c r="FRW152" s="223"/>
      <c r="FRX152" s="225"/>
      <c r="FRY152" s="220"/>
      <c r="FRZ152" s="221"/>
      <c r="FSA152" s="222"/>
      <c r="FSB152" s="222"/>
      <c r="FSC152" s="223"/>
      <c r="FSD152" s="223"/>
      <c r="FSE152" s="224"/>
      <c r="FSF152" s="223"/>
      <c r="FSG152" s="223"/>
      <c r="FSH152" s="223"/>
      <c r="FSI152" s="223"/>
      <c r="FSJ152" s="225"/>
      <c r="FSK152" s="220"/>
      <c r="FSL152" s="221"/>
      <c r="FSM152" s="222"/>
      <c r="FSN152" s="222"/>
      <c r="FSO152" s="223"/>
      <c r="FSP152" s="223"/>
      <c r="FSQ152" s="224"/>
      <c r="FSR152" s="223"/>
      <c r="FSS152" s="223"/>
      <c r="FST152" s="223"/>
      <c r="FSU152" s="223"/>
      <c r="FSV152" s="225"/>
      <c r="FSW152" s="220"/>
      <c r="FSX152" s="221"/>
      <c r="FSY152" s="222"/>
      <c r="FSZ152" s="222"/>
      <c r="FTA152" s="223"/>
      <c r="FTB152" s="223"/>
      <c r="FTC152" s="224"/>
      <c r="FTD152" s="223"/>
      <c r="FTE152" s="223"/>
      <c r="FTF152" s="223"/>
      <c r="FTG152" s="223"/>
      <c r="FTH152" s="225"/>
      <c r="FTI152" s="220"/>
      <c r="FTJ152" s="221"/>
      <c r="FTK152" s="222"/>
      <c r="FTL152" s="222"/>
      <c r="FTM152" s="223"/>
      <c r="FTN152" s="223"/>
      <c r="FTO152" s="224"/>
      <c r="FTP152" s="223"/>
      <c r="FTQ152" s="223"/>
      <c r="FTR152" s="223"/>
      <c r="FTS152" s="223"/>
      <c r="FTT152" s="225"/>
      <c r="FTU152" s="220"/>
      <c r="FTV152" s="221"/>
      <c r="FTW152" s="222"/>
      <c r="FTX152" s="222"/>
      <c r="FTY152" s="223"/>
      <c r="FTZ152" s="223"/>
      <c r="FUA152" s="224"/>
      <c r="FUB152" s="223"/>
      <c r="FUC152" s="223"/>
      <c r="FUD152" s="223"/>
      <c r="FUE152" s="223"/>
      <c r="FUF152" s="225"/>
      <c r="FUG152" s="220"/>
      <c r="FUH152" s="221"/>
      <c r="FUI152" s="222"/>
      <c r="FUJ152" s="222"/>
      <c r="FUK152" s="223"/>
      <c r="FUL152" s="223"/>
      <c r="FUM152" s="224"/>
      <c r="FUN152" s="223"/>
      <c r="FUO152" s="223"/>
      <c r="FUP152" s="223"/>
      <c r="FUQ152" s="223"/>
      <c r="FUR152" s="225"/>
      <c r="FUS152" s="220"/>
      <c r="FUT152" s="221"/>
      <c r="FUU152" s="222"/>
      <c r="FUV152" s="222"/>
      <c r="FUW152" s="223"/>
      <c r="FUX152" s="223"/>
      <c r="FUY152" s="224"/>
      <c r="FUZ152" s="223"/>
      <c r="FVA152" s="223"/>
      <c r="FVB152" s="223"/>
      <c r="FVC152" s="223"/>
      <c r="FVD152" s="225"/>
      <c r="FVE152" s="220"/>
      <c r="FVF152" s="221"/>
      <c r="FVG152" s="222"/>
      <c r="FVH152" s="222"/>
      <c r="FVI152" s="223"/>
      <c r="FVJ152" s="223"/>
      <c r="FVK152" s="224"/>
      <c r="FVL152" s="223"/>
      <c r="FVM152" s="223"/>
      <c r="FVN152" s="223"/>
      <c r="FVO152" s="223"/>
      <c r="FVP152" s="225"/>
      <c r="FVQ152" s="220"/>
      <c r="FVR152" s="221"/>
      <c r="FVS152" s="222"/>
      <c r="FVT152" s="222"/>
      <c r="FVU152" s="223"/>
      <c r="FVV152" s="223"/>
      <c r="FVW152" s="224"/>
      <c r="FVX152" s="223"/>
      <c r="FVY152" s="223"/>
      <c r="FVZ152" s="223"/>
      <c r="FWA152" s="223"/>
      <c r="FWB152" s="225"/>
      <c r="FWC152" s="220"/>
      <c r="FWD152" s="221"/>
      <c r="FWE152" s="222"/>
      <c r="FWF152" s="222"/>
      <c r="FWG152" s="223"/>
      <c r="FWH152" s="223"/>
      <c r="FWI152" s="224"/>
      <c r="FWJ152" s="223"/>
      <c r="FWK152" s="223"/>
      <c r="FWL152" s="223"/>
      <c r="FWM152" s="223"/>
      <c r="FWN152" s="225"/>
      <c r="FWO152" s="220"/>
      <c r="FWP152" s="221"/>
      <c r="FWQ152" s="222"/>
      <c r="FWR152" s="222"/>
      <c r="FWS152" s="223"/>
      <c r="FWT152" s="223"/>
      <c r="FWU152" s="224"/>
      <c r="FWV152" s="223"/>
      <c r="FWW152" s="223"/>
      <c r="FWX152" s="223"/>
      <c r="FWY152" s="223"/>
      <c r="FWZ152" s="225"/>
      <c r="FXA152" s="220"/>
      <c r="FXB152" s="221"/>
      <c r="FXC152" s="222"/>
      <c r="FXD152" s="222"/>
      <c r="FXE152" s="223"/>
      <c r="FXF152" s="223"/>
      <c r="FXG152" s="224"/>
      <c r="FXH152" s="223"/>
      <c r="FXI152" s="223"/>
      <c r="FXJ152" s="223"/>
      <c r="FXK152" s="223"/>
      <c r="FXL152" s="225"/>
      <c r="FXM152" s="220"/>
      <c r="FXN152" s="221"/>
      <c r="FXO152" s="222"/>
      <c r="FXP152" s="222"/>
      <c r="FXQ152" s="223"/>
      <c r="FXR152" s="223"/>
      <c r="FXS152" s="224"/>
      <c r="FXT152" s="223"/>
      <c r="FXU152" s="223"/>
      <c r="FXV152" s="223"/>
      <c r="FXW152" s="223"/>
      <c r="FXX152" s="225"/>
      <c r="FXY152" s="220"/>
      <c r="FXZ152" s="221"/>
      <c r="FYA152" s="222"/>
      <c r="FYB152" s="222"/>
      <c r="FYC152" s="223"/>
      <c r="FYD152" s="223"/>
      <c r="FYE152" s="224"/>
      <c r="FYF152" s="223"/>
      <c r="FYG152" s="223"/>
      <c r="FYH152" s="223"/>
      <c r="FYI152" s="223"/>
      <c r="FYJ152" s="225"/>
      <c r="FYK152" s="220"/>
      <c r="FYL152" s="221"/>
      <c r="FYM152" s="222"/>
      <c r="FYN152" s="222"/>
      <c r="FYO152" s="223"/>
      <c r="FYP152" s="223"/>
      <c r="FYQ152" s="224"/>
      <c r="FYR152" s="223"/>
      <c r="FYS152" s="223"/>
      <c r="FYT152" s="223"/>
      <c r="FYU152" s="223"/>
      <c r="FYV152" s="225"/>
      <c r="FYW152" s="220"/>
      <c r="FYX152" s="221"/>
      <c r="FYY152" s="222"/>
      <c r="FYZ152" s="222"/>
      <c r="FZA152" s="223"/>
      <c r="FZB152" s="223"/>
      <c r="FZC152" s="224"/>
      <c r="FZD152" s="223"/>
      <c r="FZE152" s="223"/>
      <c r="FZF152" s="223"/>
      <c r="FZG152" s="223"/>
      <c r="FZH152" s="225"/>
      <c r="FZI152" s="220"/>
      <c r="FZJ152" s="221"/>
      <c r="FZK152" s="222"/>
      <c r="FZL152" s="222"/>
      <c r="FZM152" s="223"/>
      <c r="FZN152" s="223"/>
      <c r="FZO152" s="224"/>
      <c r="FZP152" s="223"/>
      <c r="FZQ152" s="223"/>
      <c r="FZR152" s="223"/>
      <c r="FZS152" s="223"/>
      <c r="FZT152" s="225"/>
      <c r="FZU152" s="220"/>
      <c r="FZV152" s="221"/>
      <c r="FZW152" s="222"/>
      <c r="FZX152" s="222"/>
      <c r="FZY152" s="223"/>
      <c r="FZZ152" s="223"/>
      <c r="GAA152" s="224"/>
      <c r="GAB152" s="223"/>
      <c r="GAC152" s="223"/>
      <c r="GAD152" s="223"/>
      <c r="GAE152" s="223"/>
      <c r="GAF152" s="225"/>
      <c r="GAG152" s="220"/>
      <c r="GAH152" s="221"/>
      <c r="GAI152" s="222"/>
      <c r="GAJ152" s="222"/>
      <c r="GAK152" s="223"/>
      <c r="GAL152" s="223"/>
      <c r="GAM152" s="224"/>
      <c r="GAN152" s="223"/>
      <c r="GAO152" s="223"/>
      <c r="GAP152" s="223"/>
      <c r="GAQ152" s="223"/>
      <c r="GAR152" s="225"/>
      <c r="GAS152" s="220"/>
      <c r="GAT152" s="221"/>
      <c r="GAU152" s="222"/>
      <c r="GAV152" s="222"/>
      <c r="GAW152" s="223"/>
      <c r="GAX152" s="223"/>
      <c r="GAY152" s="224"/>
      <c r="GAZ152" s="223"/>
      <c r="GBA152" s="223"/>
      <c r="GBB152" s="223"/>
      <c r="GBC152" s="223"/>
      <c r="GBD152" s="225"/>
      <c r="GBE152" s="220"/>
      <c r="GBF152" s="221"/>
      <c r="GBG152" s="222"/>
      <c r="GBH152" s="222"/>
      <c r="GBI152" s="223"/>
      <c r="GBJ152" s="223"/>
      <c r="GBK152" s="224"/>
      <c r="GBL152" s="223"/>
      <c r="GBM152" s="223"/>
      <c r="GBN152" s="223"/>
      <c r="GBO152" s="223"/>
      <c r="GBP152" s="225"/>
      <c r="GBQ152" s="220"/>
      <c r="GBR152" s="221"/>
      <c r="GBS152" s="222"/>
      <c r="GBT152" s="222"/>
      <c r="GBU152" s="223"/>
      <c r="GBV152" s="223"/>
      <c r="GBW152" s="224"/>
      <c r="GBX152" s="223"/>
      <c r="GBY152" s="223"/>
      <c r="GBZ152" s="223"/>
      <c r="GCA152" s="223"/>
      <c r="GCB152" s="225"/>
      <c r="GCC152" s="220"/>
      <c r="GCD152" s="221"/>
      <c r="GCE152" s="222"/>
      <c r="GCF152" s="222"/>
      <c r="GCG152" s="223"/>
      <c r="GCH152" s="223"/>
      <c r="GCI152" s="224"/>
      <c r="GCJ152" s="223"/>
      <c r="GCK152" s="223"/>
      <c r="GCL152" s="223"/>
      <c r="GCM152" s="223"/>
      <c r="GCN152" s="225"/>
      <c r="GCO152" s="220"/>
      <c r="GCP152" s="221"/>
      <c r="GCQ152" s="222"/>
      <c r="GCR152" s="222"/>
      <c r="GCS152" s="223"/>
      <c r="GCT152" s="223"/>
      <c r="GCU152" s="224"/>
      <c r="GCV152" s="223"/>
      <c r="GCW152" s="223"/>
      <c r="GCX152" s="223"/>
      <c r="GCY152" s="223"/>
      <c r="GCZ152" s="225"/>
      <c r="GDA152" s="220"/>
      <c r="GDB152" s="221"/>
      <c r="GDC152" s="222"/>
      <c r="GDD152" s="222"/>
      <c r="GDE152" s="223"/>
      <c r="GDF152" s="223"/>
      <c r="GDG152" s="224"/>
      <c r="GDH152" s="223"/>
      <c r="GDI152" s="223"/>
      <c r="GDJ152" s="223"/>
      <c r="GDK152" s="223"/>
      <c r="GDL152" s="225"/>
      <c r="GDM152" s="220"/>
      <c r="GDN152" s="221"/>
      <c r="GDO152" s="222"/>
      <c r="GDP152" s="222"/>
      <c r="GDQ152" s="223"/>
      <c r="GDR152" s="223"/>
      <c r="GDS152" s="224"/>
      <c r="GDT152" s="223"/>
      <c r="GDU152" s="223"/>
      <c r="GDV152" s="223"/>
      <c r="GDW152" s="223"/>
      <c r="GDX152" s="225"/>
      <c r="GDY152" s="220"/>
      <c r="GDZ152" s="221"/>
      <c r="GEA152" s="222"/>
      <c r="GEB152" s="222"/>
      <c r="GEC152" s="223"/>
      <c r="GED152" s="223"/>
      <c r="GEE152" s="224"/>
      <c r="GEF152" s="223"/>
      <c r="GEG152" s="223"/>
      <c r="GEH152" s="223"/>
      <c r="GEI152" s="223"/>
      <c r="GEJ152" s="225"/>
      <c r="GEK152" s="220"/>
      <c r="GEL152" s="221"/>
      <c r="GEM152" s="222"/>
      <c r="GEN152" s="222"/>
      <c r="GEO152" s="223"/>
      <c r="GEP152" s="223"/>
      <c r="GEQ152" s="224"/>
      <c r="GER152" s="223"/>
      <c r="GES152" s="223"/>
      <c r="GET152" s="223"/>
      <c r="GEU152" s="223"/>
      <c r="GEV152" s="225"/>
      <c r="GEW152" s="220"/>
      <c r="GEX152" s="221"/>
      <c r="GEY152" s="222"/>
      <c r="GEZ152" s="222"/>
      <c r="GFA152" s="223"/>
      <c r="GFB152" s="223"/>
      <c r="GFC152" s="224"/>
      <c r="GFD152" s="223"/>
      <c r="GFE152" s="223"/>
      <c r="GFF152" s="223"/>
      <c r="GFG152" s="223"/>
      <c r="GFH152" s="225"/>
      <c r="GFI152" s="220"/>
      <c r="GFJ152" s="221"/>
      <c r="GFK152" s="222"/>
      <c r="GFL152" s="222"/>
      <c r="GFM152" s="223"/>
      <c r="GFN152" s="223"/>
      <c r="GFO152" s="224"/>
      <c r="GFP152" s="223"/>
      <c r="GFQ152" s="223"/>
      <c r="GFR152" s="223"/>
      <c r="GFS152" s="223"/>
      <c r="GFT152" s="225"/>
      <c r="GFU152" s="220"/>
      <c r="GFV152" s="221"/>
      <c r="GFW152" s="222"/>
      <c r="GFX152" s="222"/>
      <c r="GFY152" s="223"/>
      <c r="GFZ152" s="223"/>
      <c r="GGA152" s="224"/>
      <c r="GGB152" s="223"/>
      <c r="GGC152" s="223"/>
      <c r="GGD152" s="223"/>
      <c r="GGE152" s="223"/>
      <c r="GGF152" s="225"/>
      <c r="GGG152" s="220"/>
      <c r="GGH152" s="221"/>
      <c r="GGI152" s="222"/>
      <c r="GGJ152" s="222"/>
      <c r="GGK152" s="223"/>
      <c r="GGL152" s="223"/>
      <c r="GGM152" s="224"/>
      <c r="GGN152" s="223"/>
      <c r="GGO152" s="223"/>
      <c r="GGP152" s="223"/>
      <c r="GGQ152" s="223"/>
      <c r="GGR152" s="225"/>
      <c r="GGS152" s="220"/>
      <c r="GGT152" s="221"/>
      <c r="GGU152" s="222"/>
      <c r="GGV152" s="222"/>
      <c r="GGW152" s="223"/>
      <c r="GGX152" s="223"/>
      <c r="GGY152" s="224"/>
      <c r="GGZ152" s="223"/>
      <c r="GHA152" s="223"/>
      <c r="GHB152" s="223"/>
      <c r="GHC152" s="223"/>
      <c r="GHD152" s="225"/>
      <c r="GHE152" s="220"/>
      <c r="GHF152" s="221"/>
      <c r="GHG152" s="222"/>
      <c r="GHH152" s="222"/>
      <c r="GHI152" s="223"/>
      <c r="GHJ152" s="223"/>
      <c r="GHK152" s="224"/>
      <c r="GHL152" s="223"/>
      <c r="GHM152" s="223"/>
      <c r="GHN152" s="223"/>
      <c r="GHO152" s="223"/>
      <c r="GHP152" s="225"/>
      <c r="GHQ152" s="220"/>
      <c r="GHR152" s="221"/>
      <c r="GHS152" s="222"/>
      <c r="GHT152" s="222"/>
      <c r="GHU152" s="223"/>
      <c r="GHV152" s="223"/>
      <c r="GHW152" s="224"/>
      <c r="GHX152" s="223"/>
      <c r="GHY152" s="223"/>
      <c r="GHZ152" s="223"/>
      <c r="GIA152" s="223"/>
      <c r="GIB152" s="225"/>
      <c r="GIC152" s="220"/>
      <c r="GID152" s="221"/>
      <c r="GIE152" s="222"/>
      <c r="GIF152" s="222"/>
      <c r="GIG152" s="223"/>
      <c r="GIH152" s="223"/>
      <c r="GII152" s="224"/>
      <c r="GIJ152" s="223"/>
      <c r="GIK152" s="223"/>
      <c r="GIL152" s="223"/>
      <c r="GIM152" s="223"/>
      <c r="GIN152" s="225"/>
      <c r="GIO152" s="220"/>
      <c r="GIP152" s="221"/>
      <c r="GIQ152" s="222"/>
      <c r="GIR152" s="222"/>
      <c r="GIS152" s="223"/>
      <c r="GIT152" s="223"/>
      <c r="GIU152" s="224"/>
      <c r="GIV152" s="223"/>
      <c r="GIW152" s="223"/>
      <c r="GIX152" s="223"/>
      <c r="GIY152" s="223"/>
      <c r="GIZ152" s="225"/>
      <c r="GJA152" s="220"/>
      <c r="GJB152" s="221"/>
      <c r="GJC152" s="222"/>
      <c r="GJD152" s="222"/>
      <c r="GJE152" s="223"/>
      <c r="GJF152" s="223"/>
      <c r="GJG152" s="224"/>
      <c r="GJH152" s="223"/>
      <c r="GJI152" s="223"/>
      <c r="GJJ152" s="223"/>
      <c r="GJK152" s="223"/>
      <c r="GJL152" s="225"/>
      <c r="GJM152" s="220"/>
      <c r="GJN152" s="221"/>
      <c r="GJO152" s="222"/>
      <c r="GJP152" s="222"/>
      <c r="GJQ152" s="223"/>
      <c r="GJR152" s="223"/>
      <c r="GJS152" s="224"/>
      <c r="GJT152" s="223"/>
      <c r="GJU152" s="223"/>
      <c r="GJV152" s="223"/>
      <c r="GJW152" s="223"/>
      <c r="GJX152" s="225"/>
      <c r="GJY152" s="220"/>
      <c r="GJZ152" s="221"/>
      <c r="GKA152" s="222"/>
      <c r="GKB152" s="222"/>
      <c r="GKC152" s="223"/>
      <c r="GKD152" s="223"/>
      <c r="GKE152" s="224"/>
      <c r="GKF152" s="223"/>
      <c r="GKG152" s="223"/>
      <c r="GKH152" s="223"/>
      <c r="GKI152" s="223"/>
      <c r="GKJ152" s="225"/>
      <c r="GKK152" s="220"/>
      <c r="GKL152" s="221"/>
      <c r="GKM152" s="222"/>
      <c r="GKN152" s="222"/>
      <c r="GKO152" s="223"/>
      <c r="GKP152" s="223"/>
      <c r="GKQ152" s="224"/>
      <c r="GKR152" s="223"/>
      <c r="GKS152" s="223"/>
      <c r="GKT152" s="223"/>
      <c r="GKU152" s="223"/>
      <c r="GKV152" s="225"/>
      <c r="GKW152" s="220"/>
      <c r="GKX152" s="221"/>
      <c r="GKY152" s="222"/>
      <c r="GKZ152" s="222"/>
      <c r="GLA152" s="223"/>
      <c r="GLB152" s="223"/>
      <c r="GLC152" s="224"/>
      <c r="GLD152" s="223"/>
      <c r="GLE152" s="223"/>
      <c r="GLF152" s="223"/>
      <c r="GLG152" s="223"/>
      <c r="GLH152" s="225"/>
      <c r="GLI152" s="220"/>
      <c r="GLJ152" s="221"/>
      <c r="GLK152" s="222"/>
      <c r="GLL152" s="222"/>
      <c r="GLM152" s="223"/>
      <c r="GLN152" s="223"/>
      <c r="GLO152" s="224"/>
      <c r="GLP152" s="223"/>
      <c r="GLQ152" s="223"/>
      <c r="GLR152" s="223"/>
      <c r="GLS152" s="223"/>
      <c r="GLT152" s="225"/>
      <c r="GLU152" s="220"/>
      <c r="GLV152" s="221"/>
      <c r="GLW152" s="222"/>
      <c r="GLX152" s="222"/>
      <c r="GLY152" s="223"/>
      <c r="GLZ152" s="223"/>
      <c r="GMA152" s="224"/>
      <c r="GMB152" s="223"/>
      <c r="GMC152" s="223"/>
      <c r="GMD152" s="223"/>
      <c r="GME152" s="223"/>
      <c r="GMF152" s="225"/>
      <c r="GMG152" s="220"/>
      <c r="GMH152" s="221"/>
      <c r="GMI152" s="222"/>
      <c r="GMJ152" s="222"/>
      <c r="GMK152" s="223"/>
      <c r="GML152" s="223"/>
      <c r="GMM152" s="224"/>
      <c r="GMN152" s="223"/>
      <c r="GMO152" s="223"/>
      <c r="GMP152" s="223"/>
      <c r="GMQ152" s="223"/>
      <c r="GMR152" s="225"/>
      <c r="GMS152" s="220"/>
      <c r="GMT152" s="221"/>
      <c r="GMU152" s="222"/>
      <c r="GMV152" s="222"/>
      <c r="GMW152" s="223"/>
      <c r="GMX152" s="223"/>
      <c r="GMY152" s="224"/>
      <c r="GMZ152" s="223"/>
      <c r="GNA152" s="223"/>
      <c r="GNB152" s="223"/>
      <c r="GNC152" s="223"/>
      <c r="GND152" s="225"/>
      <c r="GNE152" s="220"/>
      <c r="GNF152" s="221"/>
      <c r="GNG152" s="222"/>
      <c r="GNH152" s="222"/>
      <c r="GNI152" s="223"/>
      <c r="GNJ152" s="223"/>
      <c r="GNK152" s="224"/>
      <c r="GNL152" s="223"/>
      <c r="GNM152" s="223"/>
      <c r="GNN152" s="223"/>
      <c r="GNO152" s="223"/>
      <c r="GNP152" s="225"/>
      <c r="GNQ152" s="220"/>
      <c r="GNR152" s="221"/>
      <c r="GNS152" s="222"/>
      <c r="GNT152" s="222"/>
      <c r="GNU152" s="223"/>
      <c r="GNV152" s="223"/>
      <c r="GNW152" s="224"/>
      <c r="GNX152" s="223"/>
      <c r="GNY152" s="223"/>
      <c r="GNZ152" s="223"/>
      <c r="GOA152" s="223"/>
      <c r="GOB152" s="225"/>
      <c r="GOC152" s="220"/>
      <c r="GOD152" s="221"/>
      <c r="GOE152" s="222"/>
      <c r="GOF152" s="222"/>
      <c r="GOG152" s="223"/>
      <c r="GOH152" s="223"/>
      <c r="GOI152" s="224"/>
      <c r="GOJ152" s="223"/>
      <c r="GOK152" s="223"/>
      <c r="GOL152" s="223"/>
      <c r="GOM152" s="223"/>
      <c r="GON152" s="225"/>
      <c r="GOO152" s="220"/>
      <c r="GOP152" s="221"/>
      <c r="GOQ152" s="222"/>
      <c r="GOR152" s="222"/>
      <c r="GOS152" s="223"/>
      <c r="GOT152" s="223"/>
      <c r="GOU152" s="224"/>
      <c r="GOV152" s="223"/>
      <c r="GOW152" s="223"/>
      <c r="GOX152" s="223"/>
      <c r="GOY152" s="223"/>
      <c r="GOZ152" s="225"/>
      <c r="GPA152" s="220"/>
      <c r="GPB152" s="221"/>
      <c r="GPC152" s="222"/>
      <c r="GPD152" s="222"/>
      <c r="GPE152" s="223"/>
      <c r="GPF152" s="223"/>
      <c r="GPG152" s="224"/>
      <c r="GPH152" s="223"/>
      <c r="GPI152" s="223"/>
      <c r="GPJ152" s="223"/>
      <c r="GPK152" s="223"/>
      <c r="GPL152" s="225"/>
      <c r="GPM152" s="220"/>
      <c r="GPN152" s="221"/>
      <c r="GPO152" s="222"/>
      <c r="GPP152" s="222"/>
      <c r="GPQ152" s="223"/>
      <c r="GPR152" s="223"/>
      <c r="GPS152" s="224"/>
      <c r="GPT152" s="223"/>
      <c r="GPU152" s="223"/>
      <c r="GPV152" s="223"/>
      <c r="GPW152" s="223"/>
      <c r="GPX152" s="225"/>
      <c r="GPY152" s="220"/>
      <c r="GPZ152" s="221"/>
      <c r="GQA152" s="222"/>
      <c r="GQB152" s="222"/>
      <c r="GQC152" s="223"/>
      <c r="GQD152" s="223"/>
      <c r="GQE152" s="224"/>
      <c r="GQF152" s="223"/>
      <c r="GQG152" s="223"/>
      <c r="GQH152" s="223"/>
      <c r="GQI152" s="223"/>
      <c r="GQJ152" s="225"/>
      <c r="GQK152" s="220"/>
      <c r="GQL152" s="221"/>
      <c r="GQM152" s="222"/>
      <c r="GQN152" s="222"/>
      <c r="GQO152" s="223"/>
      <c r="GQP152" s="223"/>
      <c r="GQQ152" s="224"/>
      <c r="GQR152" s="223"/>
      <c r="GQS152" s="223"/>
      <c r="GQT152" s="223"/>
      <c r="GQU152" s="223"/>
      <c r="GQV152" s="225"/>
      <c r="GQW152" s="220"/>
      <c r="GQX152" s="221"/>
      <c r="GQY152" s="222"/>
      <c r="GQZ152" s="222"/>
      <c r="GRA152" s="223"/>
      <c r="GRB152" s="223"/>
      <c r="GRC152" s="224"/>
      <c r="GRD152" s="223"/>
      <c r="GRE152" s="223"/>
      <c r="GRF152" s="223"/>
      <c r="GRG152" s="223"/>
      <c r="GRH152" s="225"/>
      <c r="GRI152" s="220"/>
      <c r="GRJ152" s="221"/>
      <c r="GRK152" s="222"/>
      <c r="GRL152" s="222"/>
      <c r="GRM152" s="223"/>
      <c r="GRN152" s="223"/>
      <c r="GRO152" s="224"/>
      <c r="GRP152" s="223"/>
      <c r="GRQ152" s="223"/>
      <c r="GRR152" s="223"/>
      <c r="GRS152" s="223"/>
      <c r="GRT152" s="225"/>
      <c r="GRU152" s="220"/>
      <c r="GRV152" s="221"/>
      <c r="GRW152" s="222"/>
      <c r="GRX152" s="222"/>
      <c r="GRY152" s="223"/>
      <c r="GRZ152" s="223"/>
      <c r="GSA152" s="224"/>
      <c r="GSB152" s="223"/>
      <c r="GSC152" s="223"/>
      <c r="GSD152" s="223"/>
      <c r="GSE152" s="223"/>
      <c r="GSF152" s="225"/>
      <c r="GSG152" s="220"/>
      <c r="GSH152" s="221"/>
      <c r="GSI152" s="222"/>
      <c r="GSJ152" s="222"/>
      <c r="GSK152" s="223"/>
      <c r="GSL152" s="223"/>
      <c r="GSM152" s="224"/>
      <c r="GSN152" s="223"/>
      <c r="GSO152" s="223"/>
      <c r="GSP152" s="223"/>
      <c r="GSQ152" s="223"/>
      <c r="GSR152" s="225"/>
      <c r="GSS152" s="220"/>
      <c r="GST152" s="221"/>
      <c r="GSU152" s="222"/>
      <c r="GSV152" s="222"/>
      <c r="GSW152" s="223"/>
      <c r="GSX152" s="223"/>
      <c r="GSY152" s="224"/>
      <c r="GSZ152" s="223"/>
      <c r="GTA152" s="223"/>
      <c r="GTB152" s="223"/>
      <c r="GTC152" s="223"/>
      <c r="GTD152" s="225"/>
      <c r="GTE152" s="220"/>
      <c r="GTF152" s="221"/>
      <c r="GTG152" s="222"/>
      <c r="GTH152" s="222"/>
      <c r="GTI152" s="223"/>
      <c r="GTJ152" s="223"/>
      <c r="GTK152" s="224"/>
      <c r="GTL152" s="223"/>
      <c r="GTM152" s="223"/>
      <c r="GTN152" s="223"/>
      <c r="GTO152" s="223"/>
      <c r="GTP152" s="225"/>
      <c r="GTQ152" s="220"/>
      <c r="GTR152" s="221"/>
      <c r="GTS152" s="222"/>
      <c r="GTT152" s="222"/>
      <c r="GTU152" s="223"/>
      <c r="GTV152" s="223"/>
      <c r="GTW152" s="224"/>
      <c r="GTX152" s="223"/>
      <c r="GTY152" s="223"/>
      <c r="GTZ152" s="223"/>
      <c r="GUA152" s="223"/>
      <c r="GUB152" s="225"/>
      <c r="GUC152" s="220"/>
      <c r="GUD152" s="221"/>
      <c r="GUE152" s="222"/>
      <c r="GUF152" s="222"/>
      <c r="GUG152" s="223"/>
      <c r="GUH152" s="223"/>
      <c r="GUI152" s="224"/>
      <c r="GUJ152" s="223"/>
      <c r="GUK152" s="223"/>
      <c r="GUL152" s="223"/>
      <c r="GUM152" s="223"/>
      <c r="GUN152" s="225"/>
      <c r="GUO152" s="220"/>
      <c r="GUP152" s="221"/>
      <c r="GUQ152" s="222"/>
      <c r="GUR152" s="222"/>
      <c r="GUS152" s="223"/>
      <c r="GUT152" s="223"/>
      <c r="GUU152" s="224"/>
      <c r="GUV152" s="223"/>
      <c r="GUW152" s="223"/>
      <c r="GUX152" s="223"/>
      <c r="GUY152" s="223"/>
      <c r="GUZ152" s="225"/>
      <c r="GVA152" s="220"/>
      <c r="GVB152" s="221"/>
      <c r="GVC152" s="222"/>
      <c r="GVD152" s="222"/>
      <c r="GVE152" s="223"/>
      <c r="GVF152" s="223"/>
      <c r="GVG152" s="224"/>
      <c r="GVH152" s="223"/>
      <c r="GVI152" s="223"/>
      <c r="GVJ152" s="223"/>
      <c r="GVK152" s="223"/>
      <c r="GVL152" s="225"/>
      <c r="GVM152" s="220"/>
      <c r="GVN152" s="221"/>
      <c r="GVO152" s="222"/>
      <c r="GVP152" s="222"/>
      <c r="GVQ152" s="223"/>
      <c r="GVR152" s="223"/>
      <c r="GVS152" s="224"/>
      <c r="GVT152" s="223"/>
      <c r="GVU152" s="223"/>
      <c r="GVV152" s="223"/>
      <c r="GVW152" s="223"/>
      <c r="GVX152" s="225"/>
      <c r="GVY152" s="220"/>
      <c r="GVZ152" s="221"/>
      <c r="GWA152" s="222"/>
      <c r="GWB152" s="222"/>
      <c r="GWC152" s="223"/>
      <c r="GWD152" s="223"/>
      <c r="GWE152" s="224"/>
      <c r="GWF152" s="223"/>
      <c r="GWG152" s="223"/>
      <c r="GWH152" s="223"/>
      <c r="GWI152" s="223"/>
      <c r="GWJ152" s="225"/>
      <c r="GWK152" s="220"/>
      <c r="GWL152" s="221"/>
      <c r="GWM152" s="222"/>
      <c r="GWN152" s="222"/>
      <c r="GWO152" s="223"/>
      <c r="GWP152" s="223"/>
      <c r="GWQ152" s="224"/>
      <c r="GWR152" s="223"/>
      <c r="GWS152" s="223"/>
      <c r="GWT152" s="223"/>
      <c r="GWU152" s="223"/>
      <c r="GWV152" s="225"/>
      <c r="GWW152" s="220"/>
      <c r="GWX152" s="221"/>
      <c r="GWY152" s="222"/>
      <c r="GWZ152" s="222"/>
      <c r="GXA152" s="223"/>
      <c r="GXB152" s="223"/>
      <c r="GXC152" s="224"/>
      <c r="GXD152" s="223"/>
      <c r="GXE152" s="223"/>
      <c r="GXF152" s="223"/>
      <c r="GXG152" s="223"/>
      <c r="GXH152" s="225"/>
      <c r="GXI152" s="220"/>
      <c r="GXJ152" s="221"/>
      <c r="GXK152" s="222"/>
      <c r="GXL152" s="222"/>
      <c r="GXM152" s="223"/>
      <c r="GXN152" s="223"/>
      <c r="GXO152" s="224"/>
      <c r="GXP152" s="223"/>
      <c r="GXQ152" s="223"/>
      <c r="GXR152" s="223"/>
      <c r="GXS152" s="223"/>
      <c r="GXT152" s="225"/>
      <c r="GXU152" s="220"/>
      <c r="GXV152" s="221"/>
      <c r="GXW152" s="222"/>
      <c r="GXX152" s="222"/>
      <c r="GXY152" s="223"/>
      <c r="GXZ152" s="223"/>
      <c r="GYA152" s="224"/>
      <c r="GYB152" s="223"/>
      <c r="GYC152" s="223"/>
      <c r="GYD152" s="223"/>
      <c r="GYE152" s="223"/>
      <c r="GYF152" s="225"/>
      <c r="GYG152" s="220"/>
      <c r="GYH152" s="221"/>
      <c r="GYI152" s="222"/>
      <c r="GYJ152" s="222"/>
      <c r="GYK152" s="223"/>
      <c r="GYL152" s="223"/>
      <c r="GYM152" s="224"/>
      <c r="GYN152" s="223"/>
      <c r="GYO152" s="223"/>
      <c r="GYP152" s="223"/>
      <c r="GYQ152" s="223"/>
      <c r="GYR152" s="225"/>
      <c r="GYS152" s="220"/>
      <c r="GYT152" s="221"/>
      <c r="GYU152" s="222"/>
      <c r="GYV152" s="222"/>
      <c r="GYW152" s="223"/>
      <c r="GYX152" s="223"/>
      <c r="GYY152" s="224"/>
      <c r="GYZ152" s="223"/>
      <c r="GZA152" s="223"/>
      <c r="GZB152" s="223"/>
      <c r="GZC152" s="223"/>
      <c r="GZD152" s="225"/>
      <c r="GZE152" s="220"/>
      <c r="GZF152" s="221"/>
      <c r="GZG152" s="222"/>
      <c r="GZH152" s="222"/>
      <c r="GZI152" s="223"/>
      <c r="GZJ152" s="223"/>
      <c r="GZK152" s="224"/>
      <c r="GZL152" s="223"/>
      <c r="GZM152" s="223"/>
      <c r="GZN152" s="223"/>
      <c r="GZO152" s="223"/>
      <c r="GZP152" s="225"/>
      <c r="GZQ152" s="220"/>
      <c r="GZR152" s="221"/>
      <c r="GZS152" s="222"/>
      <c r="GZT152" s="222"/>
      <c r="GZU152" s="223"/>
      <c r="GZV152" s="223"/>
      <c r="GZW152" s="224"/>
      <c r="GZX152" s="223"/>
      <c r="GZY152" s="223"/>
      <c r="GZZ152" s="223"/>
      <c r="HAA152" s="223"/>
      <c r="HAB152" s="225"/>
      <c r="HAC152" s="220"/>
      <c r="HAD152" s="221"/>
      <c r="HAE152" s="222"/>
      <c r="HAF152" s="222"/>
      <c r="HAG152" s="223"/>
      <c r="HAH152" s="223"/>
      <c r="HAI152" s="224"/>
      <c r="HAJ152" s="223"/>
      <c r="HAK152" s="223"/>
      <c r="HAL152" s="223"/>
      <c r="HAM152" s="223"/>
      <c r="HAN152" s="225"/>
      <c r="HAO152" s="220"/>
      <c r="HAP152" s="221"/>
      <c r="HAQ152" s="222"/>
      <c r="HAR152" s="222"/>
      <c r="HAS152" s="223"/>
      <c r="HAT152" s="223"/>
      <c r="HAU152" s="224"/>
      <c r="HAV152" s="223"/>
      <c r="HAW152" s="223"/>
      <c r="HAX152" s="223"/>
      <c r="HAY152" s="223"/>
      <c r="HAZ152" s="225"/>
      <c r="HBA152" s="220"/>
      <c r="HBB152" s="221"/>
      <c r="HBC152" s="222"/>
      <c r="HBD152" s="222"/>
      <c r="HBE152" s="223"/>
      <c r="HBF152" s="223"/>
      <c r="HBG152" s="224"/>
      <c r="HBH152" s="223"/>
      <c r="HBI152" s="223"/>
      <c r="HBJ152" s="223"/>
      <c r="HBK152" s="223"/>
      <c r="HBL152" s="225"/>
      <c r="HBM152" s="220"/>
      <c r="HBN152" s="221"/>
      <c r="HBO152" s="222"/>
      <c r="HBP152" s="222"/>
      <c r="HBQ152" s="223"/>
      <c r="HBR152" s="223"/>
      <c r="HBS152" s="224"/>
      <c r="HBT152" s="223"/>
      <c r="HBU152" s="223"/>
      <c r="HBV152" s="223"/>
      <c r="HBW152" s="223"/>
      <c r="HBX152" s="225"/>
      <c r="HBY152" s="220"/>
      <c r="HBZ152" s="221"/>
      <c r="HCA152" s="222"/>
      <c r="HCB152" s="222"/>
      <c r="HCC152" s="223"/>
      <c r="HCD152" s="223"/>
      <c r="HCE152" s="224"/>
      <c r="HCF152" s="223"/>
      <c r="HCG152" s="223"/>
      <c r="HCH152" s="223"/>
      <c r="HCI152" s="223"/>
      <c r="HCJ152" s="225"/>
      <c r="HCK152" s="220"/>
      <c r="HCL152" s="221"/>
      <c r="HCM152" s="222"/>
      <c r="HCN152" s="222"/>
      <c r="HCO152" s="223"/>
      <c r="HCP152" s="223"/>
      <c r="HCQ152" s="224"/>
      <c r="HCR152" s="223"/>
      <c r="HCS152" s="223"/>
      <c r="HCT152" s="223"/>
      <c r="HCU152" s="223"/>
      <c r="HCV152" s="225"/>
      <c r="HCW152" s="220"/>
      <c r="HCX152" s="221"/>
      <c r="HCY152" s="222"/>
      <c r="HCZ152" s="222"/>
      <c r="HDA152" s="223"/>
      <c r="HDB152" s="223"/>
      <c r="HDC152" s="224"/>
      <c r="HDD152" s="223"/>
      <c r="HDE152" s="223"/>
      <c r="HDF152" s="223"/>
      <c r="HDG152" s="223"/>
      <c r="HDH152" s="225"/>
      <c r="HDI152" s="220"/>
      <c r="HDJ152" s="221"/>
      <c r="HDK152" s="222"/>
      <c r="HDL152" s="222"/>
      <c r="HDM152" s="223"/>
      <c r="HDN152" s="223"/>
      <c r="HDO152" s="224"/>
      <c r="HDP152" s="223"/>
      <c r="HDQ152" s="223"/>
      <c r="HDR152" s="223"/>
      <c r="HDS152" s="223"/>
      <c r="HDT152" s="225"/>
      <c r="HDU152" s="220"/>
      <c r="HDV152" s="221"/>
      <c r="HDW152" s="222"/>
      <c r="HDX152" s="222"/>
      <c r="HDY152" s="223"/>
      <c r="HDZ152" s="223"/>
      <c r="HEA152" s="224"/>
      <c r="HEB152" s="223"/>
      <c r="HEC152" s="223"/>
      <c r="HED152" s="223"/>
      <c r="HEE152" s="223"/>
      <c r="HEF152" s="225"/>
      <c r="HEG152" s="220"/>
      <c r="HEH152" s="221"/>
      <c r="HEI152" s="222"/>
      <c r="HEJ152" s="222"/>
      <c r="HEK152" s="223"/>
      <c r="HEL152" s="223"/>
      <c r="HEM152" s="224"/>
      <c r="HEN152" s="223"/>
      <c r="HEO152" s="223"/>
      <c r="HEP152" s="223"/>
      <c r="HEQ152" s="223"/>
      <c r="HER152" s="225"/>
      <c r="HES152" s="220"/>
      <c r="HET152" s="221"/>
      <c r="HEU152" s="222"/>
      <c r="HEV152" s="222"/>
      <c r="HEW152" s="223"/>
      <c r="HEX152" s="223"/>
      <c r="HEY152" s="224"/>
      <c r="HEZ152" s="223"/>
      <c r="HFA152" s="223"/>
      <c r="HFB152" s="223"/>
      <c r="HFC152" s="223"/>
      <c r="HFD152" s="225"/>
      <c r="HFE152" s="220"/>
      <c r="HFF152" s="221"/>
      <c r="HFG152" s="222"/>
      <c r="HFH152" s="222"/>
      <c r="HFI152" s="223"/>
      <c r="HFJ152" s="223"/>
      <c r="HFK152" s="224"/>
      <c r="HFL152" s="223"/>
      <c r="HFM152" s="223"/>
      <c r="HFN152" s="223"/>
      <c r="HFO152" s="223"/>
      <c r="HFP152" s="225"/>
      <c r="HFQ152" s="220"/>
      <c r="HFR152" s="221"/>
      <c r="HFS152" s="222"/>
      <c r="HFT152" s="222"/>
      <c r="HFU152" s="223"/>
      <c r="HFV152" s="223"/>
      <c r="HFW152" s="224"/>
      <c r="HFX152" s="223"/>
      <c r="HFY152" s="223"/>
      <c r="HFZ152" s="223"/>
      <c r="HGA152" s="223"/>
      <c r="HGB152" s="225"/>
      <c r="HGC152" s="220"/>
      <c r="HGD152" s="221"/>
      <c r="HGE152" s="222"/>
      <c r="HGF152" s="222"/>
      <c r="HGG152" s="223"/>
      <c r="HGH152" s="223"/>
      <c r="HGI152" s="224"/>
      <c r="HGJ152" s="223"/>
      <c r="HGK152" s="223"/>
      <c r="HGL152" s="223"/>
      <c r="HGM152" s="223"/>
      <c r="HGN152" s="225"/>
      <c r="HGO152" s="220"/>
      <c r="HGP152" s="221"/>
      <c r="HGQ152" s="222"/>
      <c r="HGR152" s="222"/>
      <c r="HGS152" s="223"/>
      <c r="HGT152" s="223"/>
      <c r="HGU152" s="224"/>
      <c r="HGV152" s="223"/>
      <c r="HGW152" s="223"/>
      <c r="HGX152" s="223"/>
      <c r="HGY152" s="223"/>
      <c r="HGZ152" s="225"/>
      <c r="HHA152" s="220"/>
      <c r="HHB152" s="221"/>
      <c r="HHC152" s="222"/>
      <c r="HHD152" s="222"/>
      <c r="HHE152" s="223"/>
      <c r="HHF152" s="223"/>
      <c r="HHG152" s="224"/>
      <c r="HHH152" s="223"/>
      <c r="HHI152" s="223"/>
      <c r="HHJ152" s="223"/>
      <c r="HHK152" s="223"/>
      <c r="HHL152" s="225"/>
      <c r="HHM152" s="220"/>
      <c r="HHN152" s="221"/>
      <c r="HHO152" s="222"/>
      <c r="HHP152" s="222"/>
      <c r="HHQ152" s="223"/>
      <c r="HHR152" s="223"/>
      <c r="HHS152" s="224"/>
      <c r="HHT152" s="223"/>
      <c r="HHU152" s="223"/>
      <c r="HHV152" s="223"/>
      <c r="HHW152" s="223"/>
      <c r="HHX152" s="225"/>
      <c r="HHY152" s="220"/>
      <c r="HHZ152" s="221"/>
      <c r="HIA152" s="222"/>
      <c r="HIB152" s="222"/>
      <c r="HIC152" s="223"/>
      <c r="HID152" s="223"/>
      <c r="HIE152" s="224"/>
      <c r="HIF152" s="223"/>
      <c r="HIG152" s="223"/>
      <c r="HIH152" s="223"/>
      <c r="HII152" s="223"/>
      <c r="HIJ152" s="225"/>
      <c r="HIK152" s="220"/>
      <c r="HIL152" s="221"/>
      <c r="HIM152" s="222"/>
      <c r="HIN152" s="222"/>
      <c r="HIO152" s="223"/>
      <c r="HIP152" s="223"/>
      <c r="HIQ152" s="224"/>
      <c r="HIR152" s="223"/>
      <c r="HIS152" s="223"/>
      <c r="HIT152" s="223"/>
      <c r="HIU152" s="223"/>
      <c r="HIV152" s="225"/>
      <c r="HIW152" s="220"/>
      <c r="HIX152" s="221"/>
      <c r="HIY152" s="222"/>
      <c r="HIZ152" s="222"/>
      <c r="HJA152" s="223"/>
      <c r="HJB152" s="223"/>
      <c r="HJC152" s="224"/>
      <c r="HJD152" s="223"/>
      <c r="HJE152" s="223"/>
      <c r="HJF152" s="223"/>
      <c r="HJG152" s="223"/>
      <c r="HJH152" s="225"/>
      <c r="HJI152" s="220"/>
      <c r="HJJ152" s="221"/>
      <c r="HJK152" s="222"/>
      <c r="HJL152" s="222"/>
      <c r="HJM152" s="223"/>
      <c r="HJN152" s="223"/>
      <c r="HJO152" s="224"/>
      <c r="HJP152" s="223"/>
      <c r="HJQ152" s="223"/>
      <c r="HJR152" s="223"/>
      <c r="HJS152" s="223"/>
      <c r="HJT152" s="225"/>
      <c r="HJU152" s="220"/>
      <c r="HJV152" s="221"/>
      <c r="HJW152" s="222"/>
      <c r="HJX152" s="222"/>
      <c r="HJY152" s="223"/>
      <c r="HJZ152" s="223"/>
      <c r="HKA152" s="224"/>
      <c r="HKB152" s="223"/>
      <c r="HKC152" s="223"/>
      <c r="HKD152" s="223"/>
      <c r="HKE152" s="223"/>
      <c r="HKF152" s="225"/>
      <c r="HKG152" s="220"/>
      <c r="HKH152" s="221"/>
      <c r="HKI152" s="222"/>
      <c r="HKJ152" s="222"/>
      <c r="HKK152" s="223"/>
      <c r="HKL152" s="223"/>
      <c r="HKM152" s="224"/>
      <c r="HKN152" s="223"/>
      <c r="HKO152" s="223"/>
      <c r="HKP152" s="223"/>
      <c r="HKQ152" s="223"/>
      <c r="HKR152" s="225"/>
      <c r="HKS152" s="220"/>
      <c r="HKT152" s="221"/>
      <c r="HKU152" s="222"/>
      <c r="HKV152" s="222"/>
      <c r="HKW152" s="223"/>
      <c r="HKX152" s="223"/>
      <c r="HKY152" s="224"/>
      <c r="HKZ152" s="223"/>
      <c r="HLA152" s="223"/>
      <c r="HLB152" s="223"/>
      <c r="HLC152" s="223"/>
      <c r="HLD152" s="225"/>
      <c r="HLE152" s="220"/>
      <c r="HLF152" s="221"/>
      <c r="HLG152" s="222"/>
      <c r="HLH152" s="222"/>
      <c r="HLI152" s="223"/>
      <c r="HLJ152" s="223"/>
      <c r="HLK152" s="224"/>
      <c r="HLL152" s="223"/>
      <c r="HLM152" s="223"/>
      <c r="HLN152" s="223"/>
      <c r="HLO152" s="223"/>
      <c r="HLP152" s="225"/>
      <c r="HLQ152" s="220"/>
      <c r="HLR152" s="221"/>
      <c r="HLS152" s="222"/>
      <c r="HLT152" s="222"/>
      <c r="HLU152" s="223"/>
      <c r="HLV152" s="223"/>
      <c r="HLW152" s="224"/>
      <c r="HLX152" s="223"/>
      <c r="HLY152" s="223"/>
      <c r="HLZ152" s="223"/>
      <c r="HMA152" s="223"/>
      <c r="HMB152" s="225"/>
      <c r="HMC152" s="220"/>
      <c r="HMD152" s="221"/>
      <c r="HME152" s="222"/>
      <c r="HMF152" s="222"/>
      <c r="HMG152" s="223"/>
      <c r="HMH152" s="223"/>
      <c r="HMI152" s="224"/>
      <c r="HMJ152" s="223"/>
      <c r="HMK152" s="223"/>
      <c r="HML152" s="223"/>
      <c r="HMM152" s="223"/>
      <c r="HMN152" s="225"/>
      <c r="HMO152" s="220"/>
      <c r="HMP152" s="221"/>
      <c r="HMQ152" s="222"/>
      <c r="HMR152" s="222"/>
      <c r="HMS152" s="223"/>
      <c r="HMT152" s="223"/>
      <c r="HMU152" s="224"/>
      <c r="HMV152" s="223"/>
      <c r="HMW152" s="223"/>
      <c r="HMX152" s="223"/>
      <c r="HMY152" s="223"/>
      <c r="HMZ152" s="225"/>
      <c r="HNA152" s="220"/>
      <c r="HNB152" s="221"/>
      <c r="HNC152" s="222"/>
      <c r="HND152" s="222"/>
      <c r="HNE152" s="223"/>
      <c r="HNF152" s="223"/>
      <c r="HNG152" s="224"/>
      <c r="HNH152" s="223"/>
      <c r="HNI152" s="223"/>
      <c r="HNJ152" s="223"/>
      <c r="HNK152" s="223"/>
      <c r="HNL152" s="225"/>
      <c r="HNM152" s="220"/>
      <c r="HNN152" s="221"/>
      <c r="HNO152" s="222"/>
      <c r="HNP152" s="222"/>
      <c r="HNQ152" s="223"/>
      <c r="HNR152" s="223"/>
      <c r="HNS152" s="224"/>
      <c r="HNT152" s="223"/>
      <c r="HNU152" s="223"/>
      <c r="HNV152" s="223"/>
      <c r="HNW152" s="223"/>
      <c r="HNX152" s="225"/>
      <c r="HNY152" s="220"/>
      <c r="HNZ152" s="221"/>
      <c r="HOA152" s="222"/>
      <c r="HOB152" s="222"/>
      <c r="HOC152" s="223"/>
      <c r="HOD152" s="223"/>
      <c r="HOE152" s="224"/>
      <c r="HOF152" s="223"/>
      <c r="HOG152" s="223"/>
      <c r="HOH152" s="223"/>
      <c r="HOI152" s="223"/>
      <c r="HOJ152" s="225"/>
      <c r="HOK152" s="220"/>
      <c r="HOL152" s="221"/>
      <c r="HOM152" s="222"/>
      <c r="HON152" s="222"/>
      <c r="HOO152" s="223"/>
      <c r="HOP152" s="223"/>
      <c r="HOQ152" s="224"/>
      <c r="HOR152" s="223"/>
      <c r="HOS152" s="223"/>
      <c r="HOT152" s="223"/>
      <c r="HOU152" s="223"/>
      <c r="HOV152" s="225"/>
      <c r="HOW152" s="220"/>
      <c r="HOX152" s="221"/>
      <c r="HOY152" s="222"/>
      <c r="HOZ152" s="222"/>
      <c r="HPA152" s="223"/>
      <c r="HPB152" s="223"/>
      <c r="HPC152" s="224"/>
      <c r="HPD152" s="223"/>
      <c r="HPE152" s="223"/>
      <c r="HPF152" s="223"/>
      <c r="HPG152" s="223"/>
      <c r="HPH152" s="225"/>
      <c r="HPI152" s="220"/>
      <c r="HPJ152" s="221"/>
      <c r="HPK152" s="222"/>
      <c r="HPL152" s="222"/>
      <c r="HPM152" s="223"/>
      <c r="HPN152" s="223"/>
      <c r="HPO152" s="224"/>
      <c r="HPP152" s="223"/>
      <c r="HPQ152" s="223"/>
      <c r="HPR152" s="223"/>
      <c r="HPS152" s="223"/>
      <c r="HPT152" s="225"/>
      <c r="HPU152" s="220"/>
      <c r="HPV152" s="221"/>
      <c r="HPW152" s="222"/>
      <c r="HPX152" s="222"/>
      <c r="HPY152" s="223"/>
      <c r="HPZ152" s="223"/>
      <c r="HQA152" s="224"/>
      <c r="HQB152" s="223"/>
      <c r="HQC152" s="223"/>
      <c r="HQD152" s="223"/>
      <c r="HQE152" s="223"/>
      <c r="HQF152" s="225"/>
      <c r="HQG152" s="220"/>
      <c r="HQH152" s="221"/>
      <c r="HQI152" s="222"/>
      <c r="HQJ152" s="222"/>
      <c r="HQK152" s="223"/>
      <c r="HQL152" s="223"/>
      <c r="HQM152" s="224"/>
      <c r="HQN152" s="223"/>
      <c r="HQO152" s="223"/>
      <c r="HQP152" s="223"/>
      <c r="HQQ152" s="223"/>
      <c r="HQR152" s="225"/>
      <c r="HQS152" s="220"/>
      <c r="HQT152" s="221"/>
      <c r="HQU152" s="222"/>
      <c r="HQV152" s="222"/>
      <c r="HQW152" s="223"/>
      <c r="HQX152" s="223"/>
      <c r="HQY152" s="224"/>
      <c r="HQZ152" s="223"/>
      <c r="HRA152" s="223"/>
      <c r="HRB152" s="223"/>
      <c r="HRC152" s="223"/>
      <c r="HRD152" s="225"/>
      <c r="HRE152" s="220"/>
      <c r="HRF152" s="221"/>
      <c r="HRG152" s="222"/>
      <c r="HRH152" s="222"/>
      <c r="HRI152" s="223"/>
      <c r="HRJ152" s="223"/>
      <c r="HRK152" s="224"/>
      <c r="HRL152" s="223"/>
      <c r="HRM152" s="223"/>
      <c r="HRN152" s="223"/>
      <c r="HRO152" s="223"/>
      <c r="HRP152" s="225"/>
      <c r="HRQ152" s="220"/>
      <c r="HRR152" s="221"/>
      <c r="HRS152" s="222"/>
      <c r="HRT152" s="222"/>
      <c r="HRU152" s="223"/>
      <c r="HRV152" s="223"/>
      <c r="HRW152" s="224"/>
      <c r="HRX152" s="223"/>
      <c r="HRY152" s="223"/>
      <c r="HRZ152" s="223"/>
      <c r="HSA152" s="223"/>
      <c r="HSB152" s="225"/>
      <c r="HSC152" s="220"/>
      <c r="HSD152" s="221"/>
      <c r="HSE152" s="222"/>
      <c r="HSF152" s="222"/>
      <c r="HSG152" s="223"/>
      <c r="HSH152" s="223"/>
      <c r="HSI152" s="224"/>
      <c r="HSJ152" s="223"/>
      <c r="HSK152" s="223"/>
      <c r="HSL152" s="223"/>
      <c r="HSM152" s="223"/>
      <c r="HSN152" s="225"/>
      <c r="HSO152" s="220"/>
      <c r="HSP152" s="221"/>
      <c r="HSQ152" s="222"/>
      <c r="HSR152" s="222"/>
      <c r="HSS152" s="223"/>
      <c r="HST152" s="223"/>
      <c r="HSU152" s="224"/>
      <c r="HSV152" s="223"/>
      <c r="HSW152" s="223"/>
      <c r="HSX152" s="223"/>
      <c r="HSY152" s="223"/>
      <c r="HSZ152" s="225"/>
      <c r="HTA152" s="220"/>
      <c r="HTB152" s="221"/>
      <c r="HTC152" s="222"/>
      <c r="HTD152" s="222"/>
      <c r="HTE152" s="223"/>
      <c r="HTF152" s="223"/>
      <c r="HTG152" s="224"/>
      <c r="HTH152" s="223"/>
      <c r="HTI152" s="223"/>
      <c r="HTJ152" s="223"/>
      <c r="HTK152" s="223"/>
      <c r="HTL152" s="225"/>
      <c r="HTM152" s="220"/>
      <c r="HTN152" s="221"/>
      <c r="HTO152" s="222"/>
      <c r="HTP152" s="222"/>
      <c r="HTQ152" s="223"/>
      <c r="HTR152" s="223"/>
      <c r="HTS152" s="224"/>
      <c r="HTT152" s="223"/>
      <c r="HTU152" s="223"/>
      <c r="HTV152" s="223"/>
      <c r="HTW152" s="223"/>
      <c r="HTX152" s="225"/>
      <c r="HTY152" s="220"/>
      <c r="HTZ152" s="221"/>
      <c r="HUA152" s="222"/>
      <c r="HUB152" s="222"/>
      <c r="HUC152" s="223"/>
      <c r="HUD152" s="223"/>
      <c r="HUE152" s="224"/>
      <c r="HUF152" s="223"/>
      <c r="HUG152" s="223"/>
      <c r="HUH152" s="223"/>
      <c r="HUI152" s="223"/>
      <c r="HUJ152" s="225"/>
      <c r="HUK152" s="220"/>
      <c r="HUL152" s="221"/>
      <c r="HUM152" s="222"/>
      <c r="HUN152" s="222"/>
      <c r="HUO152" s="223"/>
      <c r="HUP152" s="223"/>
      <c r="HUQ152" s="224"/>
      <c r="HUR152" s="223"/>
      <c r="HUS152" s="223"/>
      <c r="HUT152" s="223"/>
      <c r="HUU152" s="223"/>
      <c r="HUV152" s="225"/>
      <c r="HUW152" s="220"/>
      <c r="HUX152" s="221"/>
      <c r="HUY152" s="222"/>
      <c r="HUZ152" s="222"/>
      <c r="HVA152" s="223"/>
      <c r="HVB152" s="223"/>
      <c r="HVC152" s="224"/>
      <c r="HVD152" s="223"/>
      <c r="HVE152" s="223"/>
      <c r="HVF152" s="223"/>
      <c r="HVG152" s="223"/>
      <c r="HVH152" s="225"/>
      <c r="HVI152" s="220"/>
      <c r="HVJ152" s="221"/>
      <c r="HVK152" s="222"/>
      <c r="HVL152" s="222"/>
      <c r="HVM152" s="223"/>
      <c r="HVN152" s="223"/>
      <c r="HVO152" s="224"/>
      <c r="HVP152" s="223"/>
      <c r="HVQ152" s="223"/>
      <c r="HVR152" s="223"/>
      <c r="HVS152" s="223"/>
      <c r="HVT152" s="225"/>
      <c r="HVU152" s="220"/>
      <c r="HVV152" s="221"/>
      <c r="HVW152" s="222"/>
      <c r="HVX152" s="222"/>
      <c r="HVY152" s="223"/>
      <c r="HVZ152" s="223"/>
      <c r="HWA152" s="224"/>
      <c r="HWB152" s="223"/>
      <c r="HWC152" s="223"/>
      <c r="HWD152" s="223"/>
      <c r="HWE152" s="223"/>
      <c r="HWF152" s="225"/>
      <c r="HWG152" s="220"/>
      <c r="HWH152" s="221"/>
      <c r="HWI152" s="222"/>
      <c r="HWJ152" s="222"/>
      <c r="HWK152" s="223"/>
      <c r="HWL152" s="223"/>
      <c r="HWM152" s="224"/>
      <c r="HWN152" s="223"/>
      <c r="HWO152" s="223"/>
      <c r="HWP152" s="223"/>
      <c r="HWQ152" s="223"/>
      <c r="HWR152" s="225"/>
      <c r="HWS152" s="220"/>
      <c r="HWT152" s="221"/>
      <c r="HWU152" s="222"/>
      <c r="HWV152" s="222"/>
      <c r="HWW152" s="223"/>
      <c r="HWX152" s="223"/>
      <c r="HWY152" s="224"/>
      <c r="HWZ152" s="223"/>
      <c r="HXA152" s="223"/>
      <c r="HXB152" s="223"/>
      <c r="HXC152" s="223"/>
      <c r="HXD152" s="225"/>
      <c r="HXE152" s="220"/>
      <c r="HXF152" s="221"/>
      <c r="HXG152" s="222"/>
      <c r="HXH152" s="222"/>
      <c r="HXI152" s="223"/>
      <c r="HXJ152" s="223"/>
      <c r="HXK152" s="224"/>
      <c r="HXL152" s="223"/>
      <c r="HXM152" s="223"/>
      <c r="HXN152" s="223"/>
      <c r="HXO152" s="223"/>
      <c r="HXP152" s="225"/>
      <c r="HXQ152" s="220"/>
      <c r="HXR152" s="221"/>
      <c r="HXS152" s="222"/>
      <c r="HXT152" s="222"/>
      <c r="HXU152" s="223"/>
      <c r="HXV152" s="223"/>
      <c r="HXW152" s="224"/>
      <c r="HXX152" s="223"/>
      <c r="HXY152" s="223"/>
      <c r="HXZ152" s="223"/>
      <c r="HYA152" s="223"/>
      <c r="HYB152" s="225"/>
      <c r="HYC152" s="220"/>
      <c r="HYD152" s="221"/>
      <c r="HYE152" s="222"/>
      <c r="HYF152" s="222"/>
      <c r="HYG152" s="223"/>
      <c r="HYH152" s="223"/>
      <c r="HYI152" s="224"/>
      <c r="HYJ152" s="223"/>
      <c r="HYK152" s="223"/>
      <c r="HYL152" s="223"/>
      <c r="HYM152" s="223"/>
      <c r="HYN152" s="225"/>
      <c r="HYO152" s="220"/>
      <c r="HYP152" s="221"/>
      <c r="HYQ152" s="222"/>
      <c r="HYR152" s="222"/>
      <c r="HYS152" s="223"/>
      <c r="HYT152" s="223"/>
      <c r="HYU152" s="224"/>
      <c r="HYV152" s="223"/>
      <c r="HYW152" s="223"/>
      <c r="HYX152" s="223"/>
      <c r="HYY152" s="223"/>
      <c r="HYZ152" s="225"/>
      <c r="HZA152" s="220"/>
      <c r="HZB152" s="221"/>
      <c r="HZC152" s="222"/>
      <c r="HZD152" s="222"/>
      <c r="HZE152" s="223"/>
      <c r="HZF152" s="223"/>
      <c r="HZG152" s="224"/>
      <c r="HZH152" s="223"/>
      <c r="HZI152" s="223"/>
      <c r="HZJ152" s="223"/>
      <c r="HZK152" s="223"/>
      <c r="HZL152" s="225"/>
      <c r="HZM152" s="220"/>
      <c r="HZN152" s="221"/>
      <c r="HZO152" s="222"/>
      <c r="HZP152" s="222"/>
      <c r="HZQ152" s="223"/>
      <c r="HZR152" s="223"/>
      <c r="HZS152" s="224"/>
      <c r="HZT152" s="223"/>
      <c r="HZU152" s="223"/>
      <c r="HZV152" s="223"/>
      <c r="HZW152" s="223"/>
      <c r="HZX152" s="225"/>
      <c r="HZY152" s="220"/>
      <c r="HZZ152" s="221"/>
      <c r="IAA152" s="222"/>
      <c r="IAB152" s="222"/>
      <c r="IAC152" s="223"/>
      <c r="IAD152" s="223"/>
      <c r="IAE152" s="224"/>
      <c r="IAF152" s="223"/>
      <c r="IAG152" s="223"/>
      <c r="IAH152" s="223"/>
      <c r="IAI152" s="223"/>
      <c r="IAJ152" s="225"/>
      <c r="IAK152" s="220"/>
      <c r="IAL152" s="221"/>
      <c r="IAM152" s="222"/>
      <c r="IAN152" s="222"/>
      <c r="IAO152" s="223"/>
      <c r="IAP152" s="223"/>
      <c r="IAQ152" s="224"/>
      <c r="IAR152" s="223"/>
      <c r="IAS152" s="223"/>
      <c r="IAT152" s="223"/>
      <c r="IAU152" s="223"/>
      <c r="IAV152" s="225"/>
      <c r="IAW152" s="220"/>
      <c r="IAX152" s="221"/>
      <c r="IAY152" s="222"/>
      <c r="IAZ152" s="222"/>
      <c r="IBA152" s="223"/>
      <c r="IBB152" s="223"/>
      <c r="IBC152" s="224"/>
      <c r="IBD152" s="223"/>
      <c r="IBE152" s="223"/>
      <c r="IBF152" s="223"/>
      <c r="IBG152" s="223"/>
      <c r="IBH152" s="225"/>
      <c r="IBI152" s="220"/>
      <c r="IBJ152" s="221"/>
      <c r="IBK152" s="222"/>
      <c r="IBL152" s="222"/>
      <c r="IBM152" s="223"/>
      <c r="IBN152" s="223"/>
      <c r="IBO152" s="224"/>
      <c r="IBP152" s="223"/>
      <c r="IBQ152" s="223"/>
      <c r="IBR152" s="223"/>
      <c r="IBS152" s="223"/>
      <c r="IBT152" s="225"/>
      <c r="IBU152" s="220"/>
      <c r="IBV152" s="221"/>
      <c r="IBW152" s="222"/>
      <c r="IBX152" s="222"/>
      <c r="IBY152" s="223"/>
      <c r="IBZ152" s="223"/>
      <c r="ICA152" s="224"/>
      <c r="ICB152" s="223"/>
      <c r="ICC152" s="223"/>
      <c r="ICD152" s="223"/>
      <c r="ICE152" s="223"/>
      <c r="ICF152" s="225"/>
      <c r="ICG152" s="220"/>
      <c r="ICH152" s="221"/>
      <c r="ICI152" s="222"/>
      <c r="ICJ152" s="222"/>
      <c r="ICK152" s="223"/>
      <c r="ICL152" s="223"/>
      <c r="ICM152" s="224"/>
      <c r="ICN152" s="223"/>
      <c r="ICO152" s="223"/>
      <c r="ICP152" s="223"/>
      <c r="ICQ152" s="223"/>
      <c r="ICR152" s="225"/>
      <c r="ICS152" s="220"/>
      <c r="ICT152" s="221"/>
      <c r="ICU152" s="222"/>
      <c r="ICV152" s="222"/>
      <c r="ICW152" s="223"/>
      <c r="ICX152" s="223"/>
      <c r="ICY152" s="224"/>
      <c r="ICZ152" s="223"/>
      <c r="IDA152" s="223"/>
      <c r="IDB152" s="223"/>
      <c r="IDC152" s="223"/>
      <c r="IDD152" s="225"/>
      <c r="IDE152" s="220"/>
      <c r="IDF152" s="221"/>
      <c r="IDG152" s="222"/>
      <c r="IDH152" s="222"/>
      <c r="IDI152" s="223"/>
      <c r="IDJ152" s="223"/>
      <c r="IDK152" s="224"/>
      <c r="IDL152" s="223"/>
      <c r="IDM152" s="223"/>
      <c r="IDN152" s="223"/>
      <c r="IDO152" s="223"/>
      <c r="IDP152" s="225"/>
      <c r="IDQ152" s="220"/>
      <c r="IDR152" s="221"/>
      <c r="IDS152" s="222"/>
      <c r="IDT152" s="222"/>
      <c r="IDU152" s="223"/>
      <c r="IDV152" s="223"/>
      <c r="IDW152" s="224"/>
      <c r="IDX152" s="223"/>
      <c r="IDY152" s="223"/>
      <c r="IDZ152" s="223"/>
      <c r="IEA152" s="223"/>
      <c r="IEB152" s="225"/>
      <c r="IEC152" s="220"/>
      <c r="IED152" s="221"/>
      <c r="IEE152" s="222"/>
      <c r="IEF152" s="222"/>
      <c r="IEG152" s="223"/>
      <c r="IEH152" s="223"/>
      <c r="IEI152" s="224"/>
      <c r="IEJ152" s="223"/>
      <c r="IEK152" s="223"/>
      <c r="IEL152" s="223"/>
      <c r="IEM152" s="223"/>
      <c r="IEN152" s="225"/>
      <c r="IEO152" s="220"/>
      <c r="IEP152" s="221"/>
      <c r="IEQ152" s="222"/>
      <c r="IER152" s="222"/>
      <c r="IES152" s="223"/>
      <c r="IET152" s="223"/>
      <c r="IEU152" s="224"/>
      <c r="IEV152" s="223"/>
      <c r="IEW152" s="223"/>
      <c r="IEX152" s="223"/>
      <c r="IEY152" s="223"/>
      <c r="IEZ152" s="225"/>
      <c r="IFA152" s="220"/>
      <c r="IFB152" s="221"/>
      <c r="IFC152" s="222"/>
      <c r="IFD152" s="222"/>
      <c r="IFE152" s="223"/>
      <c r="IFF152" s="223"/>
      <c r="IFG152" s="224"/>
      <c r="IFH152" s="223"/>
      <c r="IFI152" s="223"/>
      <c r="IFJ152" s="223"/>
      <c r="IFK152" s="223"/>
      <c r="IFL152" s="225"/>
      <c r="IFM152" s="220"/>
      <c r="IFN152" s="221"/>
      <c r="IFO152" s="222"/>
      <c r="IFP152" s="222"/>
      <c r="IFQ152" s="223"/>
      <c r="IFR152" s="223"/>
      <c r="IFS152" s="224"/>
      <c r="IFT152" s="223"/>
      <c r="IFU152" s="223"/>
      <c r="IFV152" s="223"/>
      <c r="IFW152" s="223"/>
      <c r="IFX152" s="225"/>
      <c r="IFY152" s="220"/>
      <c r="IFZ152" s="221"/>
      <c r="IGA152" s="222"/>
      <c r="IGB152" s="222"/>
      <c r="IGC152" s="223"/>
      <c r="IGD152" s="223"/>
      <c r="IGE152" s="224"/>
      <c r="IGF152" s="223"/>
      <c r="IGG152" s="223"/>
      <c r="IGH152" s="223"/>
      <c r="IGI152" s="223"/>
      <c r="IGJ152" s="225"/>
      <c r="IGK152" s="220"/>
      <c r="IGL152" s="221"/>
      <c r="IGM152" s="222"/>
      <c r="IGN152" s="222"/>
      <c r="IGO152" s="223"/>
      <c r="IGP152" s="223"/>
      <c r="IGQ152" s="224"/>
      <c r="IGR152" s="223"/>
      <c r="IGS152" s="223"/>
      <c r="IGT152" s="223"/>
      <c r="IGU152" s="223"/>
      <c r="IGV152" s="225"/>
      <c r="IGW152" s="220"/>
      <c r="IGX152" s="221"/>
      <c r="IGY152" s="222"/>
      <c r="IGZ152" s="222"/>
      <c r="IHA152" s="223"/>
      <c r="IHB152" s="223"/>
      <c r="IHC152" s="224"/>
      <c r="IHD152" s="223"/>
      <c r="IHE152" s="223"/>
      <c r="IHF152" s="223"/>
      <c r="IHG152" s="223"/>
      <c r="IHH152" s="225"/>
      <c r="IHI152" s="220"/>
      <c r="IHJ152" s="221"/>
      <c r="IHK152" s="222"/>
      <c r="IHL152" s="222"/>
      <c r="IHM152" s="223"/>
      <c r="IHN152" s="223"/>
      <c r="IHO152" s="224"/>
      <c r="IHP152" s="223"/>
      <c r="IHQ152" s="223"/>
      <c r="IHR152" s="223"/>
      <c r="IHS152" s="223"/>
      <c r="IHT152" s="225"/>
      <c r="IHU152" s="220"/>
      <c r="IHV152" s="221"/>
      <c r="IHW152" s="222"/>
      <c r="IHX152" s="222"/>
      <c r="IHY152" s="223"/>
      <c r="IHZ152" s="223"/>
      <c r="IIA152" s="224"/>
      <c r="IIB152" s="223"/>
      <c r="IIC152" s="223"/>
      <c r="IID152" s="223"/>
      <c r="IIE152" s="223"/>
      <c r="IIF152" s="225"/>
      <c r="IIG152" s="220"/>
      <c r="IIH152" s="221"/>
      <c r="III152" s="222"/>
      <c r="IIJ152" s="222"/>
      <c r="IIK152" s="223"/>
      <c r="IIL152" s="223"/>
      <c r="IIM152" s="224"/>
      <c r="IIN152" s="223"/>
      <c r="IIO152" s="223"/>
      <c r="IIP152" s="223"/>
      <c r="IIQ152" s="223"/>
      <c r="IIR152" s="225"/>
      <c r="IIS152" s="220"/>
      <c r="IIT152" s="221"/>
      <c r="IIU152" s="222"/>
      <c r="IIV152" s="222"/>
      <c r="IIW152" s="223"/>
      <c r="IIX152" s="223"/>
      <c r="IIY152" s="224"/>
      <c r="IIZ152" s="223"/>
      <c r="IJA152" s="223"/>
      <c r="IJB152" s="223"/>
      <c r="IJC152" s="223"/>
      <c r="IJD152" s="225"/>
      <c r="IJE152" s="220"/>
      <c r="IJF152" s="221"/>
      <c r="IJG152" s="222"/>
      <c r="IJH152" s="222"/>
      <c r="IJI152" s="223"/>
      <c r="IJJ152" s="223"/>
      <c r="IJK152" s="224"/>
      <c r="IJL152" s="223"/>
      <c r="IJM152" s="223"/>
      <c r="IJN152" s="223"/>
      <c r="IJO152" s="223"/>
      <c r="IJP152" s="225"/>
      <c r="IJQ152" s="220"/>
      <c r="IJR152" s="221"/>
      <c r="IJS152" s="222"/>
      <c r="IJT152" s="222"/>
      <c r="IJU152" s="223"/>
      <c r="IJV152" s="223"/>
      <c r="IJW152" s="224"/>
      <c r="IJX152" s="223"/>
      <c r="IJY152" s="223"/>
      <c r="IJZ152" s="223"/>
      <c r="IKA152" s="223"/>
      <c r="IKB152" s="225"/>
      <c r="IKC152" s="220"/>
      <c r="IKD152" s="221"/>
      <c r="IKE152" s="222"/>
      <c r="IKF152" s="222"/>
      <c r="IKG152" s="223"/>
      <c r="IKH152" s="223"/>
      <c r="IKI152" s="224"/>
      <c r="IKJ152" s="223"/>
      <c r="IKK152" s="223"/>
      <c r="IKL152" s="223"/>
      <c r="IKM152" s="223"/>
      <c r="IKN152" s="225"/>
      <c r="IKO152" s="220"/>
      <c r="IKP152" s="221"/>
      <c r="IKQ152" s="222"/>
      <c r="IKR152" s="222"/>
      <c r="IKS152" s="223"/>
      <c r="IKT152" s="223"/>
      <c r="IKU152" s="224"/>
      <c r="IKV152" s="223"/>
      <c r="IKW152" s="223"/>
      <c r="IKX152" s="223"/>
      <c r="IKY152" s="223"/>
      <c r="IKZ152" s="225"/>
      <c r="ILA152" s="220"/>
      <c r="ILB152" s="221"/>
      <c r="ILC152" s="222"/>
      <c r="ILD152" s="222"/>
      <c r="ILE152" s="223"/>
      <c r="ILF152" s="223"/>
      <c r="ILG152" s="224"/>
      <c r="ILH152" s="223"/>
      <c r="ILI152" s="223"/>
      <c r="ILJ152" s="223"/>
      <c r="ILK152" s="223"/>
      <c r="ILL152" s="225"/>
      <c r="ILM152" s="220"/>
      <c r="ILN152" s="221"/>
      <c r="ILO152" s="222"/>
      <c r="ILP152" s="222"/>
      <c r="ILQ152" s="223"/>
      <c r="ILR152" s="223"/>
      <c r="ILS152" s="224"/>
      <c r="ILT152" s="223"/>
      <c r="ILU152" s="223"/>
      <c r="ILV152" s="223"/>
      <c r="ILW152" s="223"/>
      <c r="ILX152" s="225"/>
      <c r="ILY152" s="220"/>
      <c r="ILZ152" s="221"/>
      <c r="IMA152" s="222"/>
      <c r="IMB152" s="222"/>
      <c r="IMC152" s="223"/>
      <c r="IMD152" s="223"/>
      <c r="IME152" s="224"/>
      <c r="IMF152" s="223"/>
      <c r="IMG152" s="223"/>
      <c r="IMH152" s="223"/>
      <c r="IMI152" s="223"/>
      <c r="IMJ152" s="225"/>
      <c r="IMK152" s="220"/>
      <c r="IML152" s="221"/>
      <c r="IMM152" s="222"/>
      <c r="IMN152" s="222"/>
      <c r="IMO152" s="223"/>
      <c r="IMP152" s="223"/>
      <c r="IMQ152" s="224"/>
      <c r="IMR152" s="223"/>
      <c r="IMS152" s="223"/>
      <c r="IMT152" s="223"/>
      <c r="IMU152" s="223"/>
      <c r="IMV152" s="225"/>
      <c r="IMW152" s="220"/>
      <c r="IMX152" s="221"/>
      <c r="IMY152" s="222"/>
      <c r="IMZ152" s="222"/>
      <c r="INA152" s="223"/>
      <c r="INB152" s="223"/>
      <c r="INC152" s="224"/>
      <c r="IND152" s="223"/>
      <c r="INE152" s="223"/>
      <c r="INF152" s="223"/>
      <c r="ING152" s="223"/>
      <c r="INH152" s="225"/>
      <c r="INI152" s="220"/>
      <c r="INJ152" s="221"/>
      <c r="INK152" s="222"/>
      <c r="INL152" s="222"/>
      <c r="INM152" s="223"/>
      <c r="INN152" s="223"/>
      <c r="INO152" s="224"/>
      <c r="INP152" s="223"/>
      <c r="INQ152" s="223"/>
      <c r="INR152" s="223"/>
      <c r="INS152" s="223"/>
      <c r="INT152" s="225"/>
      <c r="INU152" s="220"/>
      <c r="INV152" s="221"/>
      <c r="INW152" s="222"/>
      <c r="INX152" s="222"/>
      <c r="INY152" s="223"/>
      <c r="INZ152" s="223"/>
      <c r="IOA152" s="224"/>
      <c r="IOB152" s="223"/>
      <c r="IOC152" s="223"/>
      <c r="IOD152" s="223"/>
      <c r="IOE152" s="223"/>
      <c r="IOF152" s="225"/>
      <c r="IOG152" s="220"/>
      <c r="IOH152" s="221"/>
      <c r="IOI152" s="222"/>
      <c r="IOJ152" s="222"/>
      <c r="IOK152" s="223"/>
      <c r="IOL152" s="223"/>
      <c r="IOM152" s="224"/>
      <c r="ION152" s="223"/>
      <c r="IOO152" s="223"/>
      <c r="IOP152" s="223"/>
      <c r="IOQ152" s="223"/>
      <c r="IOR152" s="225"/>
      <c r="IOS152" s="220"/>
      <c r="IOT152" s="221"/>
      <c r="IOU152" s="222"/>
      <c r="IOV152" s="222"/>
      <c r="IOW152" s="223"/>
      <c r="IOX152" s="223"/>
      <c r="IOY152" s="224"/>
      <c r="IOZ152" s="223"/>
      <c r="IPA152" s="223"/>
      <c r="IPB152" s="223"/>
      <c r="IPC152" s="223"/>
      <c r="IPD152" s="225"/>
      <c r="IPE152" s="220"/>
      <c r="IPF152" s="221"/>
      <c r="IPG152" s="222"/>
      <c r="IPH152" s="222"/>
      <c r="IPI152" s="223"/>
      <c r="IPJ152" s="223"/>
      <c r="IPK152" s="224"/>
      <c r="IPL152" s="223"/>
      <c r="IPM152" s="223"/>
      <c r="IPN152" s="223"/>
      <c r="IPO152" s="223"/>
      <c r="IPP152" s="225"/>
      <c r="IPQ152" s="220"/>
      <c r="IPR152" s="221"/>
      <c r="IPS152" s="222"/>
      <c r="IPT152" s="222"/>
      <c r="IPU152" s="223"/>
      <c r="IPV152" s="223"/>
      <c r="IPW152" s="224"/>
      <c r="IPX152" s="223"/>
      <c r="IPY152" s="223"/>
      <c r="IPZ152" s="223"/>
      <c r="IQA152" s="223"/>
      <c r="IQB152" s="225"/>
      <c r="IQC152" s="220"/>
      <c r="IQD152" s="221"/>
      <c r="IQE152" s="222"/>
      <c r="IQF152" s="222"/>
      <c r="IQG152" s="223"/>
      <c r="IQH152" s="223"/>
      <c r="IQI152" s="224"/>
      <c r="IQJ152" s="223"/>
      <c r="IQK152" s="223"/>
      <c r="IQL152" s="223"/>
      <c r="IQM152" s="223"/>
      <c r="IQN152" s="225"/>
      <c r="IQO152" s="220"/>
      <c r="IQP152" s="221"/>
      <c r="IQQ152" s="222"/>
      <c r="IQR152" s="222"/>
      <c r="IQS152" s="223"/>
      <c r="IQT152" s="223"/>
      <c r="IQU152" s="224"/>
      <c r="IQV152" s="223"/>
      <c r="IQW152" s="223"/>
      <c r="IQX152" s="223"/>
      <c r="IQY152" s="223"/>
      <c r="IQZ152" s="225"/>
      <c r="IRA152" s="220"/>
      <c r="IRB152" s="221"/>
      <c r="IRC152" s="222"/>
      <c r="IRD152" s="222"/>
      <c r="IRE152" s="223"/>
      <c r="IRF152" s="223"/>
      <c r="IRG152" s="224"/>
      <c r="IRH152" s="223"/>
      <c r="IRI152" s="223"/>
      <c r="IRJ152" s="223"/>
      <c r="IRK152" s="223"/>
      <c r="IRL152" s="225"/>
      <c r="IRM152" s="220"/>
      <c r="IRN152" s="221"/>
      <c r="IRO152" s="222"/>
      <c r="IRP152" s="222"/>
      <c r="IRQ152" s="223"/>
      <c r="IRR152" s="223"/>
      <c r="IRS152" s="224"/>
      <c r="IRT152" s="223"/>
      <c r="IRU152" s="223"/>
      <c r="IRV152" s="223"/>
      <c r="IRW152" s="223"/>
      <c r="IRX152" s="225"/>
      <c r="IRY152" s="220"/>
      <c r="IRZ152" s="221"/>
      <c r="ISA152" s="222"/>
      <c r="ISB152" s="222"/>
      <c r="ISC152" s="223"/>
      <c r="ISD152" s="223"/>
      <c r="ISE152" s="224"/>
      <c r="ISF152" s="223"/>
      <c r="ISG152" s="223"/>
      <c r="ISH152" s="223"/>
      <c r="ISI152" s="223"/>
      <c r="ISJ152" s="225"/>
      <c r="ISK152" s="220"/>
      <c r="ISL152" s="221"/>
      <c r="ISM152" s="222"/>
      <c r="ISN152" s="222"/>
      <c r="ISO152" s="223"/>
      <c r="ISP152" s="223"/>
      <c r="ISQ152" s="224"/>
      <c r="ISR152" s="223"/>
      <c r="ISS152" s="223"/>
      <c r="IST152" s="223"/>
      <c r="ISU152" s="223"/>
      <c r="ISV152" s="225"/>
      <c r="ISW152" s="220"/>
      <c r="ISX152" s="221"/>
      <c r="ISY152" s="222"/>
      <c r="ISZ152" s="222"/>
      <c r="ITA152" s="223"/>
      <c r="ITB152" s="223"/>
      <c r="ITC152" s="224"/>
      <c r="ITD152" s="223"/>
      <c r="ITE152" s="223"/>
      <c r="ITF152" s="223"/>
      <c r="ITG152" s="223"/>
      <c r="ITH152" s="225"/>
      <c r="ITI152" s="220"/>
      <c r="ITJ152" s="221"/>
      <c r="ITK152" s="222"/>
      <c r="ITL152" s="222"/>
      <c r="ITM152" s="223"/>
      <c r="ITN152" s="223"/>
      <c r="ITO152" s="224"/>
      <c r="ITP152" s="223"/>
      <c r="ITQ152" s="223"/>
      <c r="ITR152" s="223"/>
      <c r="ITS152" s="223"/>
      <c r="ITT152" s="225"/>
      <c r="ITU152" s="220"/>
      <c r="ITV152" s="221"/>
      <c r="ITW152" s="222"/>
      <c r="ITX152" s="222"/>
      <c r="ITY152" s="223"/>
      <c r="ITZ152" s="223"/>
      <c r="IUA152" s="224"/>
      <c r="IUB152" s="223"/>
      <c r="IUC152" s="223"/>
      <c r="IUD152" s="223"/>
      <c r="IUE152" s="223"/>
      <c r="IUF152" s="225"/>
      <c r="IUG152" s="220"/>
      <c r="IUH152" s="221"/>
      <c r="IUI152" s="222"/>
      <c r="IUJ152" s="222"/>
      <c r="IUK152" s="223"/>
      <c r="IUL152" s="223"/>
      <c r="IUM152" s="224"/>
      <c r="IUN152" s="223"/>
      <c r="IUO152" s="223"/>
      <c r="IUP152" s="223"/>
      <c r="IUQ152" s="223"/>
      <c r="IUR152" s="225"/>
      <c r="IUS152" s="220"/>
      <c r="IUT152" s="221"/>
      <c r="IUU152" s="222"/>
      <c r="IUV152" s="222"/>
      <c r="IUW152" s="223"/>
      <c r="IUX152" s="223"/>
      <c r="IUY152" s="224"/>
      <c r="IUZ152" s="223"/>
      <c r="IVA152" s="223"/>
      <c r="IVB152" s="223"/>
      <c r="IVC152" s="223"/>
      <c r="IVD152" s="225"/>
      <c r="IVE152" s="220"/>
      <c r="IVF152" s="221"/>
      <c r="IVG152" s="222"/>
      <c r="IVH152" s="222"/>
      <c r="IVI152" s="223"/>
      <c r="IVJ152" s="223"/>
      <c r="IVK152" s="224"/>
      <c r="IVL152" s="223"/>
      <c r="IVM152" s="223"/>
      <c r="IVN152" s="223"/>
      <c r="IVO152" s="223"/>
      <c r="IVP152" s="225"/>
      <c r="IVQ152" s="220"/>
      <c r="IVR152" s="221"/>
      <c r="IVS152" s="222"/>
      <c r="IVT152" s="222"/>
      <c r="IVU152" s="223"/>
      <c r="IVV152" s="223"/>
      <c r="IVW152" s="224"/>
      <c r="IVX152" s="223"/>
      <c r="IVY152" s="223"/>
      <c r="IVZ152" s="223"/>
      <c r="IWA152" s="223"/>
      <c r="IWB152" s="225"/>
      <c r="IWC152" s="220"/>
      <c r="IWD152" s="221"/>
      <c r="IWE152" s="222"/>
      <c r="IWF152" s="222"/>
      <c r="IWG152" s="223"/>
      <c r="IWH152" s="223"/>
      <c r="IWI152" s="224"/>
      <c r="IWJ152" s="223"/>
      <c r="IWK152" s="223"/>
      <c r="IWL152" s="223"/>
      <c r="IWM152" s="223"/>
      <c r="IWN152" s="225"/>
      <c r="IWO152" s="220"/>
      <c r="IWP152" s="221"/>
      <c r="IWQ152" s="222"/>
      <c r="IWR152" s="222"/>
      <c r="IWS152" s="223"/>
      <c r="IWT152" s="223"/>
      <c r="IWU152" s="224"/>
      <c r="IWV152" s="223"/>
      <c r="IWW152" s="223"/>
      <c r="IWX152" s="223"/>
      <c r="IWY152" s="223"/>
      <c r="IWZ152" s="225"/>
      <c r="IXA152" s="220"/>
      <c r="IXB152" s="221"/>
      <c r="IXC152" s="222"/>
      <c r="IXD152" s="222"/>
      <c r="IXE152" s="223"/>
      <c r="IXF152" s="223"/>
      <c r="IXG152" s="224"/>
      <c r="IXH152" s="223"/>
      <c r="IXI152" s="223"/>
      <c r="IXJ152" s="223"/>
      <c r="IXK152" s="223"/>
      <c r="IXL152" s="225"/>
      <c r="IXM152" s="220"/>
      <c r="IXN152" s="221"/>
      <c r="IXO152" s="222"/>
      <c r="IXP152" s="222"/>
      <c r="IXQ152" s="223"/>
      <c r="IXR152" s="223"/>
      <c r="IXS152" s="224"/>
      <c r="IXT152" s="223"/>
      <c r="IXU152" s="223"/>
      <c r="IXV152" s="223"/>
      <c r="IXW152" s="223"/>
      <c r="IXX152" s="225"/>
      <c r="IXY152" s="220"/>
      <c r="IXZ152" s="221"/>
      <c r="IYA152" s="222"/>
      <c r="IYB152" s="222"/>
      <c r="IYC152" s="223"/>
      <c r="IYD152" s="223"/>
      <c r="IYE152" s="224"/>
      <c r="IYF152" s="223"/>
      <c r="IYG152" s="223"/>
      <c r="IYH152" s="223"/>
      <c r="IYI152" s="223"/>
      <c r="IYJ152" s="225"/>
      <c r="IYK152" s="220"/>
      <c r="IYL152" s="221"/>
      <c r="IYM152" s="222"/>
      <c r="IYN152" s="222"/>
      <c r="IYO152" s="223"/>
      <c r="IYP152" s="223"/>
      <c r="IYQ152" s="224"/>
      <c r="IYR152" s="223"/>
      <c r="IYS152" s="223"/>
      <c r="IYT152" s="223"/>
      <c r="IYU152" s="223"/>
      <c r="IYV152" s="225"/>
      <c r="IYW152" s="220"/>
      <c r="IYX152" s="221"/>
      <c r="IYY152" s="222"/>
      <c r="IYZ152" s="222"/>
      <c r="IZA152" s="223"/>
      <c r="IZB152" s="223"/>
      <c r="IZC152" s="224"/>
      <c r="IZD152" s="223"/>
      <c r="IZE152" s="223"/>
      <c r="IZF152" s="223"/>
      <c r="IZG152" s="223"/>
      <c r="IZH152" s="225"/>
      <c r="IZI152" s="220"/>
      <c r="IZJ152" s="221"/>
      <c r="IZK152" s="222"/>
      <c r="IZL152" s="222"/>
      <c r="IZM152" s="223"/>
      <c r="IZN152" s="223"/>
      <c r="IZO152" s="224"/>
      <c r="IZP152" s="223"/>
      <c r="IZQ152" s="223"/>
      <c r="IZR152" s="223"/>
      <c r="IZS152" s="223"/>
      <c r="IZT152" s="225"/>
      <c r="IZU152" s="220"/>
      <c r="IZV152" s="221"/>
      <c r="IZW152" s="222"/>
      <c r="IZX152" s="222"/>
      <c r="IZY152" s="223"/>
      <c r="IZZ152" s="223"/>
      <c r="JAA152" s="224"/>
      <c r="JAB152" s="223"/>
      <c r="JAC152" s="223"/>
      <c r="JAD152" s="223"/>
      <c r="JAE152" s="223"/>
      <c r="JAF152" s="225"/>
      <c r="JAG152" s="220"/>
      <c r="JAH152" s="221"/>
      <c r="JAI152" s="222"/>
      <c r="JAJ152" s="222"/>
      <c r="JAK152" s="223"/>
      <c r="JAL152" s="223"/>
      <c r="JAM152" s="224"/>
      <c r="JAN152" s="223"/>
      <c r="JAO152" s="223"/>
      <c r="JAP152" s="223"/>
      <c r="JAQ152" s="223"/>
      <c r="JAR152" s="225"/>
      <c r="JAS152" s="220"/>
      <c r="JAT152" s="221"/>
      <c r="JAU152" s="222"/>
      <c r="JAV152" s="222"/>
      <c r="JAW152" s="223"/>
      <c r="JAX152" s="223"/>
      <c r="JAY152" s="224"/>
      <c r="JAZ152" s="223"/>
      <c r="JBA152" s="223"/>
      <c r="JBB152" s="223"/>
      <c r="JBC152" s="223"/>
      <c r="JBD152" s="225"/>
      <c r="JBE152" s="220"/>
      <c r="JBF152" s="221"/>
      <c r="JBG152" s="222"/>
      <c r="JBH152" s="222"/>
      <c r="JBI152" s="223"/>
      <c r="JBJ152" s="223"/>
      <c r="JBK152" s="224"/>
      <c r="JBL152" s="223"/>
      <c r="JBM152" s="223"/>
      <c r="JBN152" s="223"/>
      <c r="JBO152" s="223"/>
      <c r="JBP152" s="225"/>
      <c r="JBQ152" s="220"/>
      <c r="JBR152" s="221"/>
      <c r="JBS152" s="222"/>
      <c r="JBT152" s="222"/>
      <c r="JBU152" s="223"/>
      <c r="JBV152" s="223"/>
      <c r="JBW152" s="224"/>
      <c r="JBX152" s="223"/>
      <c r="JBY152" s="223"/>
      <c r="JBZ152" s="223"/>
      <c r="JCA152" s="223"/>
      <c r="JCB152" s="225"/>
      <c r="JCC152" s="220"/>
      <c r="JCD152" s="221"/>
      <c r="JCE152" s="222"/>
      <c r="JCF152" s="222"/>
      <c r="JCG152" s="223"/>
      <c r="JCH152" s="223"/>
      <c r="JCI152" s="224"/>
      <c r="JCJ152" s="223"/>
      <c r="JCK152" s="223"/>
      <c r="JCL152" s="223"/>
      <c r="JCM152" s="223"/>
      <c r="JCN152" s="225"/>
      <c r="JCO152" s="220"/>
      <c r="JCP152" s="221"/>
      <c r="JCQ152" s="222"/>
      <c r="JCR152" s="222"/>
      <c r="JCS152" s="223"/>
      <c r="JCT152" s="223"/>
      <c r="JCU152" s="224"/>
      <c r="JCV152" s="223"/>
      <c r="JCW152" s="223"/>
      <c r="JCX152" s="223"/>
      <c r="JCY152" s="223"/>
      <c r="JCZ152" s="225"/>
      <c r="JDA152" s="220"/>
      <c r="JDB152" s="221"/>
      <c r="JDC152" s="222"/>
      <c r="JDD152" s="222"/>
      <c r="JDE152" s="223"/>
      <c r="JDF152" s="223"/>
      <c r="JDG152" s="224"/>
      <c r="JDH152" s="223"/>
      <c r="JDI152" s="223"/>
      <c r="JDJ152" s="223"/>
      <c r="JDK152" s="223"/>
      <c r="JDL152" s="225"/>
      <c r="JDM152" s="220"/>
      <c r="JDN152" s="221"/>
      <c r="JDO152" s="222"/>
      <c r="JDP152" s="222"/>
      <c r="JDQ152" s="223"/>
      <c r="JDR152" s="223"/>
      <c r="JDS152" s="224"/>
      <c r="JDT152" s="223"/>
      <c r="JDU152" s="223"/>
      <c r="JDV152" s="223"/>
      <c r="JDW152" s="223"/>
      <c r="JDX152" s="225"/>
      <c r="JDY152" s="220"/>
      <c r="JDZ152" s="221"/>
      <c r="JEA152" s="222"/>
      <c r="JEB152" s="222"/>
      <c r="JEC152" s="223"/>
      <c r="JED152" s="223"/>
      <c r="JEE152" s="224"/>
      <c r="JEF152" s="223"/>
      <c r="JEG152" s="223"/>
      <c r="JEH152" s="223"/>
      <c r="JEI152" s="223"/>
      <c r="JEJ152" s="225"/>
      <c r="JEK152" s="220"/>
      <c r="JEL152" s="221"/>
      <c r="JEM152" s="222"/>
      <c r="JEN152" s="222"/>
      <c r="JEO152" s="223"/>
      <c r="JEP152" s="223"/>
      <c r="JEQ152" s="224"/>
      <c r="JER152" s="223"/>
      <c r="JES152" s="223"/>
      <c r="JET152" s="223"/>
      <c r="JEU152" s="223"/>
      <c r="JEV152" s="225"/>
      <c r="JEW152" s="220"/>
      <c r="JEX152" s="221"/>
      <c r="JEY152" s="222"/>
      <c r="JEZ152" s="222"/>
      <c r="JFA152" s="223"/>
      <c r="JFB152" s="223"/>
      <c r="JFC152" s="224"/>
      <c r="JFD152" s="223"/>
      <c r="JFE152" s="223"/>
      <c r="JFF152" s="223"/>
      <c r="JFG152" s="223"/>
      <c r="JFH152" s="225"/>
      <c r="JFI152" s="220"/>
      <c r="JFJ152" s="221"/>
      <c r="JFK152" s="222"/>
      <c r="JFL152" s="222"/>
      <c r="JFM152" s="223"/>
      <c r="JFN152" s="223"/>
      <c r="JFO152" s="224"/>
      <c r="JFP152" s="223"/>
      <c r="JFQ152" s="223"/>
      <c r="JFR152" s="223"/>
      <c r="JFS152" s="223"/>
      <c r="JFT152" s="225"/>
      <c r="JFU152" s="220"/>
      <c r="JFV152" s="221"/>
      <c r="JFW152" s="222"/>
      <c r="JFX152" s="222"/>
      <c r="JFY152" s="223"/>
      <c r="JFZ152" s="223"/>
      <c r="JGA152" s="224"/>
      <c r="JGB152" s="223"/>
      <c r="JGC152" s="223"/>
      <c r="JGD152" s="223"/>
      <c r="JGE152" s="223"/>
      <c r="JGF152" s="225"/>
      <c r="JGG152" s="220"/>
      <c r="JGH152" s="221"/>
      <c r="JGI152" s="222"/>
      <c r="JGJ152" s="222"/>
      <c r="JGK152" s="223"/>
      <c r="JGL152" s="223"/>
      <c r="JGM152" s="224"/>
      <c r="JGN152" s="223"/>
      <c r="JGO152" s="223"/>
      <c r="JGP152" s="223"/>
      <c r="JGQ152" s="223"/>
      <c r="JGR152" s="225"/>
      <c r="JGS152" s="220"/>
      <c r="JGT152" s="221"/>
      <c r="JGU152" s="222"/>
      <c r="JGV152" s="222"/>
      <c r="JGW152" s="223"/>
      <c r="JGX152" s="223"/>
      <c r="JGY152" s="224"/>
      <c r="JGZ152" s="223"/>
      <c r="JHA152" s="223"/>
      <c r="JHB152" s="223"/>
      <c r="JHC152" s="223"/>
      <c r="JHD152" s="225"/>
      <c r="JHE152" s="220"/>
      <c r="JHF152" s="221"/>
      <c r="JHG152" s="222"/>
      <c r="JHH152" s="222"/>
      <c r="JHI152" s="223"/>
      <c r="JHJ152" s="223"/>
      <c r="JHK152" s="224"/>
      <c r="JHL152" s="223"/>
      <c r="JHM152" s="223"/>
      <c r="JHN152" s="223"/>
      <c r="JHO152" s="223"/>
      <c r="JHP152" s="225"/>
      <c r="JHQ152" s="220"/>
      <c r="JHR152" s="221"/>
      <c r="JHS152" s="222"/>
      <c r="JHT152" s="222"/>
      <c r="JHU152" s="223"/>
      <c r="JHV152" s="223"/>
      <c r="JHW152" s="224"/>
      <c r="JHX152" s="223"/>
      <c r="JHY152" s="223"/>
      <c r="JHZ152" s="223"/>
      <c r="JIA152" s="223"/>
      <c r="JIB152" s="225"/>
      <c r="JIC152" s="220"/>
      <c r="JID152" s="221"/>
      <c r="JIE152" s="222"/>
      <c r="JIF152" s="222"/>
      <c r="JIG152" s="223"/>
      <c r="JIH152" s="223"/>
      <c r="JII152" s="224"/>
      <c r="JIJ152" s="223"/>
      <c r="JIK152" s="223"/>
      <c r="JIL152" s="223"/>
      <c r="JIM152" s="223"/>
      <c r="JIN152" s="225"/>
      <c r="JIO152" s="220"/>
      <c r="JIP152" s="221"/>
      <c r="JIQ152" s="222"/>
      <c r="JIR152" s="222"/>
      <c r="JIS152" s="223"/>
      <c r="JIT152" s="223"/>
      <c r="JIU152" s="224"/>
      <c r="JIV152" s="223"/>
      <c r="JIW152" s="223"/>
      <c r="JIX152" s="223"/>
      <c r="JIY152" s="223"/>
      <c r="JIZ152" s="225"/>
      <c r="JJA152" s="220"/>
      <c r="JJB152" s="221"/>
      <c r="JJC152" s="222"/>
      <c r="JJD152" s="222"/>
      <c r="JJE152" s="223"/>
      <c r="JJF152" s="223"/>
      <c r="JJG152" s="224"/>
      <c r="JJH152" s="223"/>
      <c r="JJI152" s="223"/>
      <c r="JJJ152" s="223"/>
      <c r="JJK152" s="223"/>
      <c r="JJL152" s="225"/>
      <c r="JJM152" s="220"/>
      <c r="JJN152" s="221"/>
      <c r="JJO152" s="222"/>
      <c r="JJP152" s="222"/>
      <c r="JJQ152" s="223"/>
      <c r="JJR152" s="223"/>
      <c r="JJS152" s="224"/>
      <c r="JJT152" s="223"/>
      <c r="JJU152" s="223"/>
      <c r="JJV152" s="223"/>
      <c r="JJW152" s="223"/>
      <c r="JJX152" s="225"/>
      <c r="JJY152" s="220"/>
      <c r="JJZ152" s="221"/>
      <c r="JKA152" s="222"/>
      <c r="JKB152" s="222"/>
      <c r="JKC152" s="223"/>
      <c r="JKD152" s="223"/>
      <c r="JKE152" s="224"/>
      <c r="JKF152" s="223"/>
      <c r="JKG152" s="223"/>
      <c r="JKH152" s="223"/>
      <c r="JKI152" s="223"/>
      <c r="JKJ152" s="225"/>
      <c r="JKK152" s="220"/>
      <c r="JKL152" s="221"/>
      <c r="JKM152" s="222"/>
      <c r="JKN152" s="222"/>
      <c r="JKO152" s="223"/>
      <c r="JKP152" s="223"/>
      <c r="JKQ152" s="224"/>
      <c r="JKR152" s="223"/>
      <c r="JKS152" s="223"/>
      <c r="JKT152" s="223"/>
      <c r="JKU152" s="223"/>
      <c r="JKV152" s="225"/>
      <c r="JKW152" s="220"/>
      <c r="JKX152" s="221"/>
      <c r="JKY152" s="222"/>
      <c r="JKZ152" s="222"/>
      <c r="JLA152" s="223"/>
      <c r="JLB152" s="223"/>
      <c r="JLC152" s="224"/>
      <c r="JLD152" s="223"/>
      <c r="JLE152" s="223"/>
      <c r="JLF152" s="223"/>
      <c r="JLG152" s="223"/>
      <c r="JLH152" s="225"/>
      <c r="JLI152" s="220"/>
      <c r="JLJ152" s="221"/>
      <c r="JLK152" s="222"/>
      <c r="JLL152" s="222"/>
      <c r="JLM152" s="223"/>
      <c r="JLN152" s="223"/>
      <c r="JLO152" s="224"/>
      <c r="JLP152" s="223"/>
      <c r="JLQ152" s="223"/>
      <c r="JLR152" s="223"/>
      <c r="JLS152" s="223"/>
      <c r="JLT152" s="225"/>
      <c r="JLU152" s="220"/>
      <c r="JLV152" s="221"/>
      <c r="JLW152" s="222"/>
      <c r="JLX152" s="222"/>
      <c r="JLY152" s="223"/>
      <c r="JLZ152" s="223"/>
      <c r="JMA152" s="224"/>
      <c r="JMB152" s="223"/>
      <c r="JMC152" s="223"/>
      <c r="JMD152" s="223"/>
      <c r="JME152" s="223"/>
      <c r="JMF152" s="225"/>
      <c r="JMG152" s="220"/>
      <c r="JMH152" s="221"/>
      <c r="JMI152" s="222"/>
      <c r="JMJ152" s="222"/>
      <c r="JMK152" s="223"/>
      <c r="JML152" s="223"/>
      <c r="JMM152" s="224"/>
      <c r="JMN152" s="223"/>
      <c r="JMO152" s="223"/>
      <c r="JMP152" s="223"/>
      <c r="JMQ152" s="223"/>
      <c r="JMR152" s="225"/>
      <c r="JMS152" s="220"/>
      <c r="JMT152" s="221"/>
      <c r="JMU152" s="222"/>
      <c r="JMV152" s="222"/>
      <c r="JMW152" s="223"/>
      <c r="JMX152" s="223"/>
      <c r="JMY152" s="224"/>
      <c r="JMZ152" s="223"/>
      <c r="JNA152" s="223"/>
      <c r="JNB152" s="223"/>
      <c r="JNC152" s="223"/>
      <c r="JND152" s="225"/>
      <c r="JNE152" s="220"/>
      <c r="JNF152" s="221"/>
      <c r="JNG152" s="222"/>
      <c r="JNH152" s="222"/>
      <c r="JNI152" s="223"/>
      <c r="JNJ152" s="223"/>
      <c r="JNK152" s="224"/>
      <c r="JNL152" s="223"/>
      <c r="JNM152" s="223"/>
      <c r="JNN152" s="223"/>
      <c r="JNO152" s="223"/>
      <c r="JNP152" s="225"/>
      <c r="JNQ152" s="220"/>
      <c r="JNR152" s="221"/>
      <c r="JNS152" s="222"/>
      <c r="JNT152" s="222"/>
      <c r="JNU152" s="223"/>
      <c r="JNV152" s="223"/>
      <c r="JNW152" s="224"/>
      <c r="JNX152" s="223"/>
      <c r="JNY152" s="223"/>
      <c r="JNZ152" s="223"/>
      <c r="JOA152" s="223"/>
      <c r="JOB152" s="225"/>
      <c r="JOC152" s="220"/>
      <c r="JOD152" s="221"/>
      <c r="JOE152" s="222"/>
      <c r="JOF152" s="222"/>
      <c r="JOG152" s="223"/>
      <c r="JOH152" s="223"/>
      <c r="JOI152" s="224"/>
      <c r="JOJ152" s="223"/>
      <c r="JOK152" s="223"/>
      <c r="JOL152" s="223"/>
      <c r="JOM152" s="223"/>
      <c r="JON152" s="225"/>
      <c r="JOO152" s="220"/>
      <c r="JOP152" s="221"/>
      <c r="JOQ152" s="222"/>
      <c r="JOR152" s="222"/>
      <c r="JOS152" s="223"/>
      <c r="JOT152" s="223"/>
      <c r="JOU152" s="224"/>
      <c r="JOV152" s="223"/>
      <c r="JOW152" s="223"/>
      <c r="JOX152" s="223"/>
      <c r="JOY152" s="223"/>
      <c r="JOZ152" s="225"/>
      <c r="JPA152" s="220"/>
      <c r="JPB152" s="221"/>
      <c r="JPC152" s="222"/>
      <c r="JPD152" s="222"/>
      <c r="JPE152" s="223"/>
      <c r="JPF152" s="223"/>
      <c r="JPG152" s="224"/>
      <c r="JPH152" s="223"/>
      <c r="JPI152" s="223"/>
      <c r="JPJ152" s="223"/>
      <c r="JPK152" s="223"/>
      <c r="JPL152" s="225"/>
      <c r="JPM152" s="220"/>
      <c r="JPN152" s="221"/>
      <c r="JPO152" s="222"/>
      <c r="JPP152" s="222"/>
      <c r="JPQ152" s="223"/>
      <c r="JPR152" s="223"/>
      <c r="JPS152" s="224"/>
      <c r="JPT152" s="223"/>
      <c r="JPU152" s="223"/>
      <c r="JPV152" s="223"/>
      <c r="JPW152" s="223"/>
      <c r="JPX152" s="225"/>
      <c r="JPY152" s="220"/>
      <c r="JPZ152" s="221"/>
      <c r="JQA152" s="222"/>
      <c r="JQB152" s="222"/>
      <c r="JQC152" s="223"/>
      <c r="JQD152" s="223"/>
      <c r="JQE152" s="224"/>
      <c r="JQF152" s="223"/>
      <c r="JQG152" s="223"/>
      <c r="JQH152" s="223"/>
      <c r="JQI152" s="223"/>
      <c r="JQJ152" s="225"/>
      <c r="JQK152" s="220"/>
      <c r="JQL152" s="221"/>
      <c r="JQM152" s="222"/>
      <c r="JQN152" s="222"/>
      <c r="JQO152" s="223"/>
      <c r="JQP152" s="223"/>
      <c r="JQQ152" s="224"/>
      <c r="JQR152" s="223"/>
      <c r="JQS152" s="223"/>
      <c r="JQT152" s="223"/>
      <c r="JQU152" s="223"/>
      <c r="JQV152" s="225"/>
      <c r="JQW152" s="220"/>
      <c r="JQX152" s="221"/>
      <c r="JQY152" s="222"/>
      <c r="JQZ152" s="222"/>
      <c r="JRA152" s="223"/>
      <c r="JRB152" s="223"/>
      <c r="JRC152" s="224"/>
      <c r="JRD152" s="223"/>
      <c r="JRE152" s="223"/>
      <c r="JRF152" s="223"/>
      <c r="JRG152" s="223"/>
      <c r="JRH152" s="225"/>
      <c r="JRI152" s="220"/>
      <c r="JRJ152" s="221"/>
      <c r="JRK152" s="222"/>
      <c r="JRL152" s="222"/>
      <c r="JRM152" s="223"/>
      <c r="JRN152" s="223"/>
      <c r="JRO152" s="224"/>
      <c r="JRP152" s="223"/>
      <c r="JRQ152" s="223"/>
      <c r="JRR152" s="223"/>
      <c r="JRS152" s="223"/>
      <c r="JRT152" s="225"/>
      <c r="JRU152" s="220"/>
      <c r="JRV152" s="221"/>
      <c r="JRW152" s="222"/>
      <c r="JRX152" s="222"/>
      <c r="JRY152" s="223"/>
      <c r="JRZ152" s="223"/>
      <c r="JSA152" s="224"/>
      <c r="JSB152" s="223"/>
      <c r="JSC152" s="223"/>
      <c r="JSD152" s="223"/>
      <c r="JSE152" s="223"/>
      <c r="JSF152" s="225"/>
      <c r="JSG152" s="220"/>
      <c r="JSH152" s="221"/>
      <c r="JSI152" s="222"/>
      <c r="JSJ152" s="222"/>
      <c r="JSK152" s="223"/>
      <c r="JSL152" s="223"/>
      <c r="JSM152" s="224"/>
      <c r="JSN152" s="223"/>
      <c r="JSO152" s="223"/>
      <c r="JSP152" s="223"/>
      <c r="JSQ152" s="223"/>
      <c r="JSR152" s="225"/>
      <c r="JSS152" s="220"/>
      <c r="JST152" s="221"/>
      <c r="JSU152" s="222"/>
      <c r="JSV152" s="222"/>
      <c r="JSW152" s="223"/>
      <c r="JSX152" s="223"/>
      <c r="JSY152" s="224"/>
      <c r="JSZ152" s="223"/>
      <c r="JTA152" s="223"/>
      <c r="JTB152" s="223"/>
      <c r="JTC152" s="223"/>
      <c r="JTD152" s="225"/>
      <c r="JTE152" s="220"/>
      <c r="JTF152" s="221"/>
      <c r="JTG152" s="222"/>
      <c r="JTH152" s="222"/>
      <c r="JTI152" s="223"/>
      <c r="JTJ152" s="223"/>
      <c r="JTK152" s="224"/>
      <c r="JTL152" s="223"/>
      <c r="JTM152" s="223"/>
      <c r="JTN152" s="223"/>
      <c r="JTO152" s="223"/>
      <c r="JTP152" s="225"/>
      <c r="JTQ152" s="220"/>
      <c r="JTR152" s="221"/>
      <c r="JTS152" s="222"/>
      <c r="JTT152" s="222"/>
      <c r="JTU152" s="223"/>
      <c r="JTV152" s="223"/>
      <c r="JTW152" s="224"/>
      <c r="JTX152" s="223"/>
      <c r="JTY152" s="223"/>
      <c r="JTZ152" s="223"/>
      <c r="JUA152" s="223"/>
      <c r="JUB152" s="225"/>
      <c r="JUC152" s="220"/>
      <c r="JUD152" s="221"/>
      <c r="JUE152" s="222"/>
      <c r="JUF152" s="222"/>
      <c r="JUG152" s="223"/>
      <c r="JUH152" s="223"/>
      <c r="JUI152" s="224"/>
      <c r="JUJ152" s="223"/>
      <c r="JUK152" s="223"/>
      <c r="JUL152" s="223"/>
      <c r="JUM152" s="223"/>
      <c r="JUN152" s="225"/>
      <c r="JUO152" s="220"/>
      <c r="JUP152" s="221"/>
      <c r="JUQ152" s="222"/>
      <c r="JUR152" s="222"/>
      <c r="JUS152" s="223"/>
      <c r="JUT152" s="223"/>
      <c r="JUU152" s="224"/>
      <c r="JUV152" s="223"/>
      <c r="JUW152" s="223"/>
      <c r="JUX152" s="223"/>
      <c r="JUY152" s="223"/>
      <c r="JUZ152" s="225"/>
      <c r="JVA152" s="220"/>
      <c r="JVB152" s="221"/>
      <c r="JVC152" s="222"/>
      <c r="JVD152" s="222"/>
      <c r="JVE152" s="223"/>
      <c r="JVF152" s="223"/>
      <c r="JVG152" s="224"/>
      <c r="JVH152" s="223"/>
      <c r="JVI152" s="223"/>
      <c r="JVJ152" s="223"/>
      <c r="JVK152" s="223"/>
      <c r="JVL152" s="225"/>
      <c r="JVM152" s="220"/>
      <c r="JVN152" s="221"/>
      <c r="JVO152" s="222"/>
      <c r="JVP152" s="222"/>
      <c r="JVQ152" s="223"/>
      <c r="JVR152" s="223"/>
      <c r="JVS152" s="224"/>
      <c r="JVT152" s="223"/>
      <c r="JVU152" s="223"/>
      <c r="JVV152" s="223"/>
      <c r="JVW152" s="223"/>
      <c r="JVX152" s="225"/>
      <c r="JVY152" s="220"/>
      <c r="JVZ152" s="221"/>
      <c r="JWA152" s="222"/>
      <c r="JWB152" s="222"/>
      <c r="JWC152" s="223"/>
      <c r="JWD152" s="223"/>
      <c r="JWE152" s="224"/>
      <c r="JWF152" s="223"/>
      <c r="JWG152" s="223"/>
      <c r="JWH152" s="223"/>
      <c r="JWI152" s="223"/>
      <c r="JWJ152" s="225"/>
      <c r="JWK152" s="220"/>
      <c r="JWL152" s="221"/>
      <c r="JWM152" s="222"/>
      <c r="JWN152" s="222"/>
      <c r="JWO152" s="223"/>
      <c r="JWP152" s="223"/>
      <c r="JWQ152" s="224"/>
      <c r="JWR152" s="223"/>
      <c r="JWS152" s="223"/>
      <c r="JWT152" s="223"/>
      <c r="JWU152" s="223"/>
      <c r="JWV152" s="225"/>
      <c r="JWW152" s="220"/>
      <c r="JWX152" s="221"/>
      <c r="JWY152" s="222"/>
      <c r="JWZ152" s="222"/>
      <c r="JXA152" s="223"/>
      <c r="JXB152" s="223"/>
      <c r="JXC152" s="224"/>
      <c r="JXD152" s="223"/>
      <c r="JXE152" s="223"/>
      <c r="JXF152" s="223"/>
      <c r="JXG152" s="223"/>
      <c r="JXH152" s="225"/>
      <c r="JXI152" s="220"/>
      <c r="JXJ152" s="221"/>
      <c r="JXK152" s="222"/>
      <c r="JXL152" s="222"/>
      <c r="JXM152" s="223"/>
      <c r="JXN152" s="223"/>
      <c r="JXO152" s="224"/>
      <c r="JXP152" s="223"/>
      <c r="JXQ152" s="223"/>
      <c r="JXR152" s="223"/>
      <c r="JXS152" s="223"/>
      <c r="JXT152" s="225"/>
      <c r="JXU152" s="220"/>
      <c r="JXV152" s="221"/>
      <c r="JXW152" s="222"/>
      <c r="JXX152" s="222"/>
      <c r="JXY152" s="223"/>
      <c r="JXZ152" s="223"/>
      <c r="JYA152" s="224"/>
      <c r="JYB152" s="223"/>
      <c r="JYC152" s="223"/>
      <c r="JYD152" s="223"/>
      <c r="JYE152" s="223"/>
      <c r="JYF152" s="225"/>
      <c r="JYG152" s="220"/>
      <c r="JYH152" s="221"/>
      <c r="JYI152" s="222"/>
      <c r="JYJ152" s="222"/>
      <c r="JYK152" s="223"/>
      <c r="JYL152" s="223"/>
      <c r="JYM152" s="224"/>
      <c r="JYN152" s="223"/>
      <c r="JYO152" s="223"/>
      <c r="JYP152" s="223"/>
      <c r="JYQ152" s="223"/>
      <c r="JYR152" s="225"/>
      <c r="JYS152" s="220"/>
      <c r="JYT152" s="221"/>
      <c r="JYU152" s="222"/>
      <c r="JYV152" s="222"/>
      <c r="JYW152" s="223"/>
      <c r="JYX152" s="223"/>
      <c r="JYY152" s="224"/>
      <c r="JYZ152" s="223"/>
      <c r="JZA152" s="223"/>
      <c r="JZB152" s="223"/>
      <c r="JZC152" s="223"/>
      <c r="JZD152" s="225"/>
      <c r="JZE152" s="220"/>
      <c r="JZF152" s="221"/>
      <c r="JZG152" s="222"/>
      <c r="JZH152" s="222"/>
      <c r="JZI152" s="223"/>
      <c r="JZJ152" s="223"/>
      <c r="JZK152" s="224"/>
      <c r="JZL152" s="223"/>
      <c r="JZM152" s="223"/>
      <c r="JZN152" s="223"/>
      <c r="JZO152" s="223"/>
      <c r="JZP152" s="225"/>
      <c r="JZQ152" s="220"/>
      <c r="JZR152" s="221"/>
      <c r="JZS152" s="222"/>
      <c r="JZT152" s="222"/>
      <c r="JZU152" s="223"/>
      <c r="JZV152" s="223"/>
      <c r="JZW152" s="224"/>
      <c r="JZX152" s="223"/>
      <c r="JZY152" s="223"/>
      <c r="JZZ152" s="223"/>
      <c r="KAA152" s="223"/>
      <c r="KAB152" s="225"/>
      <c r="KAC152" s="220"/>
      <c r="KAD152" s="221"/>
      <c r="KAE152" s="222"/>
      <c r="KAF152" s="222"/>
      <c r="KAG152" s="223"/>
      <c r="KAH152" s="223"/>
      <c r="KAI152" s="224"/>
      <c r="KAJ152" s="223"/>
      <c r="KAK152" s="223"/>
      <c r="KAL152" s="223"/>
      <c r="KAM152" s="223"/>
      <c r="KAN152" s="225"/>
      <c r="KAO152" s="220"/>
      <c r="KAP152" s="221"/>
      <c r="KAQ152" s="222"/>
      <c r="KAR152" s="222"/>
      <c r="KAS152" s="223"/>
      <c r="KAT152" s="223"/>
      <c r="KAU152" s="224"/>
      <c r="KAV152" s="223"/>
      <c r="KAW152" s="223"/>
      <c r="KAX152" s="223"/>
      <c r="KAY152" s="223"/>
      <c r="KAZ152" s="225"/>
      <c r="KBA152" s="220"/>
      <c r="KBB152" s="221"/>
      <c r="KBC152" s="222"/>
      <c r="KBD152" s="222"/>
      <c r="KBE152" s="223"/>
      <c r="KBF152" s="223"/>
      <c r="KBG152" s="224"/>
      <c r="KBH152" s="223"/>
      <c r="KBI152" s="223"/>
      <c r="KBJ152" s="223"/>
      <c r="KBK152" s="223"/>
      <c r="KBL152" s="225"/>
      <c r="KBM152" s="220"/>
      <c r="KBN152" s="221"/>
      <c r="KBO152" s="222"/>
      <c r="KBP152" s="222"/>
      <c r="KBQ152" s="223"/>
      <c r="KBR152" s="223"/>
      <c r="KBS152" s="224"/>
      <c r="KBT152" s="223"/>
      <c r="KBU152" s="223"/>
      <c r="KBV152" s="223"/>
      <c r="KBW152" s="223"/>
      <c r="KBX152" s="225"/>
      <c r="KBY152" s="220"/>
      <c r="KBZ152" s="221"/>
      <c r="KCA152" s="222"/>
      <c r="KCB152" s="222"/>
      <c r="KCC152" s="223"/>
      <c r="KCD152" s="223"/>
      <c r="KCE152" s="224"/>
      <c r="KCF152" s="223"/>
      <c r="KCG152" s="223"/>
      <c r="KCH152" s="223"/>
      <c r="KCI152" s="223"/>
      <c r="KCJ152" s="225"/>
      <c r="KCK152" s="220"/>
      <c r="KCL152" s="221"/>
      <c r="KCM152" s="222"/>
      <c r="KCN152" s="222"/>
      <c r="KCO152" s="223"/>
      <c r="KCP152" s="223"/>
      <c r="KCQ152" s="224"/>
      <c r="KCR152" s="223"/>
      <c r="KCS152" s="223"/>
      <c r="KCT152" s="223"/>
      <c r="KCU152" s="223"/>
      <c r="KCV152" s="225"/>
      <c r="KCW152" s="220"/>
      <c r="KCX152" s="221"/>
      <c r="KCY152" s="222"/>
      <c r="KCZ152" s="222"/>
      <c r="KDA152" s="223"/>
      <c r="KDB152" s="223"/>
      <c r="KDC152" s="224"/>
      <c r="KDD152" s="223"/>
      <c r="KDE152" s="223"/>
      <c r="KDF152" s="223"/>
      <c r="KDG152" s="223"/>
      <c r="KDH152" s="225"/>
      <c r="KDI152" s="220"/>
      <c r="KDJ152" s="221"/>
      <c r="KDK152" s="222"/>
      <c r="KDL152" s="222"/>
      <c r="KDM152" s="223"/>
      <c r="KDN152" s="223"/>
      <c r="KDO152" s="224"/>
      <c r="KDP152" s="223"/>
      <c r="KDQ152" s="223"/>
      <c r="KDR152" s="223"/>
      <c r="KDS152" s="223"/>
      <c r="KDT152" s="225"/>
      <c r="KDU152" s="220"/>
      <c r="KDV152" s="221"/>
      <c r="KDW152" s="222"/>
      <c r="KDX152" s="222"/>
      <c r="KDY152" s="223"/>
      <c r="KDZ152" s="223"/>
      <c r="KEA152" s="224"/>
      <c r="KEB152" s="223"/>
      <c r="KEC152" s="223"/>
      <c r="KED152" s="223"/>
      <c r="KEE152" s="223"/>
      <c r="KEF152" s="225"/>
      <c r="KEG152" s="220"/>
      <c r="KEH152" s="221"/>
      <c r="KEI152" s="222"/>
      <c r="KEJ152" s="222"/>
      <c r="KEK152" s="223"/>
      <c r="KEL152" s="223"/>
      <c r="KEM152" s="224"/>
      <c r="KEN152" s="223"/>
      <c r="KEO152" s="223"/>
      <c r="KEP152" s="223"/>
      <c r="KEQ152" s="223"/>
      <c r="KER152" s="225"/>
      <c r="KES152" s="220"/>
      <c r="KET152" s="221"/>
      <c r="KEU152" s="222"/>
      <c r="KEV152" s="222"/>
      <c r="KEW152" s="223"/>
      <c r="KEX152" s="223"/>
      <c r="KEY152" s="224"/>
      <c r="KEZ152" s="223"/>
      <c r="KFA152" s="223"/>
      <c r="KFB152" s="223"/>
      <c r="KFC152" s="223"/>
      <c r="KFD152" s="225"/>
      <c r="KFE152" s="220"/>
      <c r="KFF152" s="221"/>
      <c r="KFG152" s="222"/>
      <c r="KFH152" s="222"/>
      <c r="KFI152" s="223"/>
      <c r="KFJ152" s="223"/>
      <c r="KFK152" s="224"/>
      <c r="KFL152" s="223"/>
      <c r="KFM152" s="223"/>
      <c r="KFN152" s="223"/>
      <c r="KFO152" s="223"/>
      <c r="KFP152" s="225"/>
      <c r="KFQ152" s="220"/>
      <c r="KFR152" s="221"/>
      <c r="KFS152" s="222"/>
      <c r="KFT152" s="222"/>
      <c r="KFU152" s="223"/>
      <c r="KFV152" s="223"/>
      <c r="KFW152" s="224"/>
      <c r="KFX152" s="223"/>
      <c r="KFY152" s="223"/>
      <c r="KFZ152" s="223"/>
      <c r="KGA152" s="223"/>
      <c r="KGB152" s="225"/>
      <c r="KGC152" s="220"/>
      <c r="KGD152" s="221"/>
      <c r="KGE152" s="222"/>
      <c r="KGF152" s="222"/>
      <c r="KGG152" s="223"/>
      <c r="KGH152" s="223"/>
      <c r="KGI152" s="224"/>
      <c r="KGJ152" s="223"/>
      <c r="KGK152" s="223"/>
      <c r="KGL152" s="223"/>
      <c r="KGM152" s="223"/>
      <c r="KGN152" s="225"/>
      <c r="KGO152" s="220"/>
      <c r="KGP152" s="221"/>
      <c r="KGQ152" s="222"/>
      <c r="KGR152" s="222"/>
      <c r="KGS152" s="223"/>
      <c r="KGT152" s="223"/>
      <c r="KGU152" s="224"/>
      <c r="KGV152" s="223"/>
      <c r="KGW152" s="223"/>
      <c r="KGX152" s="223"/>
      <c r="KGY152" s="223"/>
      <c r="KGZ152" s="225"/>
      <c r="KHA152" s="220"/>
      <c r="KHB152" s="221"/>
      <c r="KHC152" s="222"/>
      <c r="KHD152" s="222"/>
      <c r="KHE152" s="223"/>
      <c r="KHF152" s="223"/>
      <c r="KHG152" s="224"/>
      <c r="KHH152" s="223"/>
      <c r="KHI152" s="223"/>
      <c r="KHJ152" s="223"/>
      <c r="KHK152" s="223"/>
      <c r="KHL152" s="225"/>
      <c r="KHM152" s="220"/>
      <c r="KHN152" s="221"/>
      <c r="KHO152" s="222"/>
      <c r="KHP152" s="222"/>
      <c r="KHQ152" s="223"/>
      <c r="KHR152" s="223"/>
      <c r="KHS152" s="224"/>
      <c r="KHT152" s="223"/>
      <c r="KHU152" s="223"/>
      <c r="KHV152" s="223"/>
      <c r="KHW152" s="223"/>
      <c r="KHX152" s="225"/>
      <c r="KHY152" s="220"/>
      <c r="KHZ152" s="221"/>
      <c r="KIA152" s="222"/>
      <c r="KIB152" s="222"/>
      <c r="KIC152" s="223"/>
      <c r="KID152" s="223"/>
      <c r="KIE152" s="224"/>
      <c r="KIF152" s="223"/>
      <c r="KIG152" s="223"/>
      <c r="KIH152" s="223"/>
      <c r="KII152" s="223"/>
      <c r="KIJ152" s="225"/>
      <c r="KIK152" s="220"/>
      <c r="KIL152" s="221"/>
      <c r="KIM152" s="222"/>
      <c r="KIN152" s="222"/>
      <c r="KIO152" s="223"/>
      <c r="KIP152" s="223"/>
      <c r="KIQ152" s="224"/>
      <c r="KIR152" s="223"/>
      <c r="KIS152" s="223"/>
      <c r="KIT152" s="223"/>
      <c r="KIU152" s="223"/>
      <c r="KIV152" s="225"/>
      <c r="KIW152" s="220"/>
      <c r="KIX152" s="221"/>
      <c r="KIY152" s="222"/>
      <c r="KIZ152" s="222"/>
      <c r="KJA152" s="223"/>
      <c r="KJB152" s="223"/>
      <c r="KJC152" s="224"/>
      <c r="KJD152" s="223"/>
      <c r="KJE152" s="223"/>
      <c r="KJF152" s="223"/>
      <c r="KJG152" s="223"/>
      <c r="KJH152" s="225"/>
      <c r="KJI152" s="220"/>
      <c r="KJJ152" s="221"/>
      <c r="KJK152" s="222"/>
      <c r="KJL152" s="222"/>
      <c r="KJM152" s="223"/>
      <c r="KJN152" s="223"/>
      <c r="KJO152" s="224"/>
      <c r="KJP152" s="223"/>
      <c r="KJQ152" s="223"/>
      <c r="KJR152" s="223"/>
      <c r="KJS152" s="223"/>
      <c r="KJT152" s="225"/>
      <c r="KJU152" s="220"/>
      <c r="KJV152" s="221"/>
      <c r="KJW152" s="222"/>
      <c r="KJX152" s="222"/>
      <c r="KJY152" s="223"/>
      <c r="KJZ152" s="223"/>
      <c r="KKA152" s="224"/>
      <c r="KKB152" s="223"/>
      <c r="KKC152" s="223"/>
      <c r="KKD152" s="223"/>
      <c r="KKE152" s="223"/>
      <c r="KKF152" s="225"/>
      <c r="KKG152" s="220"/>
      <c r="KKH152" s="221"/>
      <c r="KKI152" s="222"/>
      <c r="KKJ152" s="222"/>
      <c r="KKK152" s="223"/>
      <c r="KKL152" s="223"/>
      <c r="KKM152" s="224"/>
      <c r="KKN152" s="223"/>
      <c r="KKO152" s="223"/>
      <c r="KKP152" s="223"/>
      <c r="KKQ152" s="223"/>
      <c r="KKR152" s="225"/>
      <c r="KKS152" s="220"/>
      <c r="KKT152" s="221"/>
      <c r="KKU152" s="222"/>
      <c r="KKV152" s="222"/>
      <c r="KKW152" s="223"/>
      <c r="KKX152" s="223"/>
      <c r="KKY152" s="224"/>
      <c r="KKZ152" s="223"/>
      <c r="KLA152" s="223"/>
      <c r="KLB152" s="223"/>
      <c r="KLC152" s="223"/>
      <c r="KLD152" s="225"/>
      <c r="KLE152" s="220"/>
      <c r="KLF152" s="221"/>
      <c r="KLG152" s="222"/>
      <c r="KLH152" s="222"/>
      <c r="KLI152" s="223"/>
      <c r="KLJ152" s="223"/>
      <c r="KLK152" s="224"/>
      <c r="KLL152" s="223"/>
      <c r="KLM152" s="223"/>
      <c r="KLN152" s="223"/>
      <c r="KLO152" s="223"/>
      <c r="KLP152" s="225"/>
      <c r="KLQ152" s="220"/>
      <c r="KLR152" s="221"/>
      <c r="KLS152" s="222"/>
      <c r="KLT152" s="222"/>
      <c r="KLU152" s="223"/>
      <c r="KLV152" s="223"/>
      <c r="KLW152" s="224"/>
      <c r="KLX152" s="223"/>
      <c r="KLY152" s="223"/>
      <c r="KLZ152" s="223"/>
      <c r="KMA152" s="223"/>
      <c r="KMB152" s="225"/>
      <c r="KMC152" s="220"/>
      <c r="KMD152" s="221"/>
      <c r="KME152" s="222"/>
      <c r="KMF152" s="222"/>
      <c r="KMG152" s="223"/>
      <c r="KMH152" s="223"/>
      <c r="KMI152" s="224"/>
      <c r="KMJ152" s="223"/>
      <c r="KMK152" s="223"/>
      <c r="KML152" s="223"/>
      <c r="KMM152" s="223"/>
      <c r="KMN152" s="225"/>
      <c r="KMO152" s="220"/>
      <c r="KMP152" s="221"/>
      <c r="KMQ152" s="222"/>
      <c r="KMR152" s="222"/>
      <c r="KMS152" s="223"/>
      <c r="KMT152" s="223"/>
      <c r="KMU152" s="224"/>
      <c r="KMV152" s="223"/>
      <c r="KMW152" s="223"/>
      <c r="KMX152" s="223"/>
      <c r="KMY152" s="223"/>
      <c r="KMZ152" s="225"/>
      <c r="KNA152" s="220"/>
      <c r="KNB152" s="221"/>
      <c r="KNC152" s="222"/>
      <c r="KND152" s="222"/>
      <c r="KNE152" s="223"/>
      <c r="KNF152" s="223"/>
      <c r="KNG152" s="224"/>
      <c r="KNH152" s="223"/>
      <c r="KNI152" s="223"/>
      <c r="KNJ152" s="223"/>
      <c r="KNK152" s="223"/>
      <c r="KNL152" s="225"/>
      <c r="KNM152" s="220"/>
      <c r="KNN152" s="221"/>
      <c r="KNO152" s="222"/>
      <c r="KNP152" s="222"/>
      <c r="KNQ152" s="223"/>
      <c r="KNR152" s="223"/>
      <c r="KNS152" s="224"/>
      <c r="KNT152" s="223"/>
      <c r="KNU152" s="223"/>
      <c r="KNV152" s="223"/>
      <c r="KNW152" s="223"/>
      <c r="KNX152" s="225"/>
      <c r="KNY152" s="220"/>
      <c r="KNZ152" s="221"/>
      <c r="KOA152" s="222"/>
      <c r="KOB152" s="222"/>
      <c r="KOC152" s="223"/>
      <c r="KOD152" s="223"/>
      <c r="KOE152" s="224"/>
      <c r="KOF152" s="223"/>
      <c r="KOG152" s="223"/>
      <c r="KOH152" s="223"/>
      <c r="KOI152" s="223"/>
      <c r="KOJ152" s="225"/>
      <c r="KOK152" s="220"/>
      <c r="KOL152" s="221"/>
      <c r="KOM152" s="222"/>
      <c r="KON152" s="222"/>
      <c r="KOO152" s="223"/>
      <c r="KOP152" s="223"/>
      <c r="KOQ152" s="224"/>
      <c r="KOR152" s="223"/>
      <c r="KOS152" s="223"/>
      <c r="KOT152" s="223"/>
      <c r="KOU152" s="223"/>
      <c r="KOV152" s="225"/>
      <c r="KOW152" s="220"/>
      <c r="KOX152" s="221"/>
      <c r="KOY152" s="222"/>
      <c r="KOZ152" s="222"/>
      <c r="KPA152" s="223"/>
      <c r="KPB152" s="223"/>
      <c r="KPC152" s="224"/>
      <c r="KPD152" s="223"/>
      <c r="KPE152" s="223"/>
      <c r="KPF152" s="223"/>
      <c r="KPG152" s="223"/>
      <c r="KPH152" s="225"/>
      <c r="KPI152" s="220"/>
      <c r="KPJ152" s="221"/>
      <c r="KPK152" s="222"/>
      <c r="KPL152" s="222"/>
      <c r="KPM152" s="223"/>
      <c r="KPN152" s="223"/>
      <c r="KPO152" s="224"/>
      <c r="KPP152" s="223"/>
      <c r="KPQ152" s="223"/>
      <c r="KPR152" s="223"/>
      <c r="KPS152" s="223"/>
      <c r="KPT152" s="225"/>
      <c r="KPU152" s="220"/>
      <c r="KPV152" s="221"/>
      <c r="KPW152" s="222"/>
      <c r="KPX152" s="222"/>
      <c r="KPY152" s="223"/>
      <c r="KPZ152" s="223"/>
      <c r="KQA152" s="224"/>
      <c r="KQB152" s="223"/>
      <c r="KQC152" s="223"/>
      <c r="KQD152" s="223"/>
      <c r="KQE152" s="223"/>
      <c r="KQF152" s="225"/>
      <c r="KQG152" s="220"/>
      <c r="KQH152" s="221"/>
      <c r="KQI152" s="222"/>
      <c r="KQJ152" s="222"/>
      <c r="KQK152" s="223"/>
      <c r="KQL152" s="223"/>
      <c r="KQM152" s="224"/>
      <c r="KQN152" s="223"/>
      <c r="KQO152" s="223"/>
      <c r="KQP152" s="223"/>
      <c r="KQQ152" s="223"/>
      <c r="KQR152" s="225"/>
      <c r="KQS152" s="220"/>
      <c r="KQT152" s="221"/>
      <c r="KQU152" s="222"/>
      <c r="KQV152" s="222"/>
      <c r="KQW152" s="223"/>
      <c r="KQX152" s="223"/>
      <c r="KQY152" s="224"/>
      <c r="KQZ152" s="223"/>
      <c r="KRA152" s="223"/>
      <c r="KRB152" s="223"/>
      <c r="KRC152" s="223"/>
      <c r="KRD152" s="225"/>
      <c r="KRE152" s="220"/>
      <c r="KRF152" s="221"/>
      <c r="KRG152" s="222"/>
      <c r="KRH152" s="222"/>
      <c r="KRI152" s="223"/>
      <c r="KRJ152" s="223"/>
      <c r="KRK152" s="224"/>
      <c r="KRL152" s="223"/>
      <c r="KRM152" s="223"/>
      <c r="KRN152" s="223"/>
      <c r="KRO152" s="223"/>
      <c r="KRP152" s="225"/>
      <c r="KRQ152" s="220"/>
      <c r="KRR152" s="221"/>
      <c r="KRS152" s="222"/>
      <c r="KRT152" s="222"/>
      <c r="KRU152" s="223"/>
      <c r="KRV152" s="223"/>
      <c r="KRW152" s="224"/>
      <c r="KRX152" s="223"/>
      <c r="KRY152" s="223"/>
      <c r="KRZ152" s="223"/>
      <c r="KSA152" s="223"/>
      <c r="KSB152" s="225"/>
      <c r="KSC152" s="220"/>
      <c r="KSD152" s="221"/>
      <c r="KSE152" s="222"/>
      <c r="KSF152" s="222"/>
      <c r="KSG152" s="223"/>
      <c r="KSH152" s="223"/>
      <c r="KSI152" s="224"/>
      <c r="KSJ152" s="223"/>
      <c r="KSK152" s="223"/>
      <c r="KSL152" s="223"/>
      <c r="KSM152" s="223"/>
      <c r="KSN152" s="225"/>
      <c r="KSO152" s="220"/>
      <c r="KSP152" s="221"/>
      <c r="KSQ152" s="222"/>
      <c r="KSR152" s="222"/>
      <c r="KSS152" s="223"/>
      <c r="KST152" s="223"/>
      <c r="KSU152" s="224"/>
      <c r="KSV152" s="223"/>
      <c r="KSW152" s="223"/>
      <c r="KSX152" s="223"/>
      <c r="KSY152" s="223"/>
      <c r="KSZ152" s="225"/>
      <c r="KTA152" s="220"/>
      <c r="KTB152" s="221"/>
      <c r="KTC152" s="222"/>
      <c r="KTD152" s="222"/>
      <c r="KTE152" s="223"/>
      <c r="KTF152" s="223"/>
      <c r="KTG152" s="224"/>
      <c r="KTH152" s="223"/>
      <c r="KTI152" s="223"/>
      <c r="KTJ152" s="223"/>
      <c r="KTK152" s="223"/>
      <c r="KTL152" s="225"/>
      <c r="KTM152" s="220"/>
      <c r="KTN152" s="221"/>
      <c r="KTO152" s="222"/>
      <c r="KTP152" s="222"/>
      <c r="KTQ152" s="223"/>
      <c r="KTR152" s="223"/>
      <c r="KTS152" s="224"/>
      <c r="KTT152" s="223"/>
      <c r="KTU152" s="223"/>
      <c r="KTV152" s="223"/>
      <c r="KTW152" s="223"/>
      <c r="KTX152" s="225"/>
      <c r="KTY152" s="220"/>
      <c r="KTZ152" s="221"/>
      <c r="KUA152" s="222"/>
      <c r="KUB152" s="222"/>
      <c r="KUC152" s="223"/>
      <c r="KUD152" s="223"/>
      <c r="KUE152" s="224"/>
      <c r="KUF152" s="223"/>
      <c r="KUG152" s="223"/>
      <c r="KUH152" s="223"/>
      <c r="KUI152" s="223"/>
      <c r="KUJ152" s="225"/>
      <c r="KUK152" s="220"/>
      <c r="KUL152" s="221"/>
      <c r="KUM152" s="222"/>
      <c r="KUN152" s="222"/>
      <c r="KUO152" s="223"/>
      <c r="KUP152" s="223"/>
      <c r="KUQ152" s="224"/>
      <c r="KUR152" s="223"/>
      <c r="KUS152" s="223"/>
      <c r="KUT152" s="223"/>
      <c r="KUU152" s="223"/>
      <c r="KUV152" s="225"/>
      <c r="KUW152" s="220"/>
      <c r="KUX152" s="221"/>
      <c r="KUY152" s="222"/>
      <c r="KUZ152" s="222"/>
      <c r="KVA152" s="223"/>
      <c r="KVB152" s="223"/>
      <c r="KVC152" s="224"/>
      <c r="KVD152" s="223"/>
      <c r="KVE152" s="223"/>
      <c r="KVF152" s="223"/>
      <c r="KVG152" s="223"/>
      <c r="KVH152" s="225"/>
      <c r="KVI152" s="220"/>
      <c r="KVJ152" s="221"/>
      <c r="KVK152" s="222"/>
      <c r="KVL152" s="222"/>
      <c r="KVM152" s="223"/>
      <c r="KVN152" s="223"/>
      <c r="KVO152" s="224"/>
      <c r="KVP152" s="223"/>
      <c r="KVQ152" s="223"/>
      <c r="KVR152" s="223"/>
      <c r="KVS152" s="223"/>
      <c r="KVT152" s="225"/>
      <c r="KVU152" s="220"/>
      <c r="KVV152" s="221"/>
      <c r="KVW152" s="222"/>
      <c r="KVX152" s="222"/>
      <c r="KVY152" s="223"/>
      <c r="KVZ152" s="223"/>
      <c r="KWA152" s="224"/>
      <c r="KWB152" s="223"/>
      <c r="KWC152" s="223"/>
      <c r="KWD152" s="223"/>
      <c r="KWE152" s="223"/>
      <c r="KWF152" s="225"/>
      <c r="KWG152" s="220"/>
      <c r="KWH152" s="221"/>
      <c r="KWI152" s="222"/>
      <c r="KWJ152" s="222"/>
      <c r="KWK152" s="223"/>
      <c r="KWL152" s="223"/>
      <c r="KWM152" s="224"/>
      <c r="KWN152" s="223"/>
      <c r="KWO152" s="223"/>
      <c r="KWP152" s="223"/>
      <c r="KWQ152" s="223"/>
      <c r="KWR152" s="225"/>
      <c r="KWS152" s="220"/>
      <c r="KWT152" s="221"/>
      <c r="KWU152" s="222"/>
      <c r="KWV152" s="222"/>
      <c r="KWW152" s="223"/>
      <c r="KWX152" s="223"/>
      <c r="KWY152" s="224"/>
      <c r="KWZ152" s="223"/>
      <c r="KXA152" s="223"/>
      <c r="KXB152" s="223"/>
      <c r="KXC152" s="223"/>
      <c r="KXD152" s="225"/>
      <c r="KXE152" s="220"/>
      <c r="KXF152" s="221"/>
      <c r="KXG152" s="222"/>
      <c r="KXH152" s="222"/>
      <c r="KXI152" s="223"/>
      <c r="KXJ152" s="223"/>
      <c r="KXK152" s="224"/>
      <c r="KXL152" s="223"/>
      <c r="KXM152" s="223"/>
      <c r="KXN152" s="223"/>
      <c r="KXO152" s="223"/>
      <c r="KXP152" s="225"/>
      <c r="KXQ152" s="220"/>
      <c r="KXR152" s="221"/>
      <c r="KXS152" s="222"/>
      <c r="KXT152" s="222"/>
      <c r="KXU152" s="223"/>
      <c r="KXV152" s="223"/>
      <c r="KXW152" s="224"/>
      <c r="KXX152" s="223"/>
      <c r="KXY152" s="223"/>
      <c r="KXZ152" s="223"/>
      <c r="KYA152" s="223"/>
      <c r="KYB152" s="225"/>
      <c r="KYC152" s="220"/>
      <c r="KYD152" s="221"/>
      <c r="KYE152" s="222"/>
      <c r="KYF152" s="222"/>
      <c r="KYG152" s="223"/>
      <c r="KYH152" s="223"/>
      <c r="KYI152" s="224"/>
      <c r="KYJ152" s="223"/>
      <c r="KYK152" s="223"/>
      <c r="KYL152" s="223"/>
      <c r="KYM152" s="223"/>
      <c r="KYN152" s="225"/>
      <c r="KYO152" s="220"/>
      <c r="KYP152" s="221"/>
      <c r="KYQ152" s="222"/>
      <c r="KYR152" s="222"/>
      <c r="KYS152" s="223"/>
      <c r="KYT152" s="223"/>
      <c r="KYU152" s="224"/>
      <c r="KYV152" s="223"/>
      <c r="KYW152" s="223"/>
      <c r="KYX152" s="223"/>
      <c r="KYY152" s="223"/>
      <c r="KYZ152" s="225"/>
      <c r="KZA152" s="220"/>
      <c r="KZB152" s="221"/>
      <c r="KZC152" s="222"/>
      <c r="KZD152" s="222"/>
      <c r="KZE152" s="223"/>
      <c r="KZF152" s="223"/>
      <c r="KZG152" s="224"/>
      <c r="KZH152" s="223"/>
      <c r="KZI152" s="223"/>
      <c r="KZJ152" s="223"/>
      <c r="KZK152" s="223"/>
      <c r="KZL152" s="225"/>
      <c r="KZM152" s="220"/>
      <c r="KZN152" s="221"/>
      <c r="KZO152" s="222"/>
      <c r="KZP152" s="222"/>
      <c r="KZQ152" s="223"/>
      <c r="KZR152" s="223"/>
      <c r="KZS152" s="224"/>
      <c r="KZT152" s="223"/>
      <c r="KZU152" s="223"/>
      <c r="KZV152" s="223"/>
      <c r="KZW152" s="223"/>
      <c r="KZX152" s="225"/>
      <c r="KZY152" s="220"/>
      <c r="KZZ152" s="221"/>
      <c r="LAA152" s="222"/>
      <c r="LAB152" s="222"/>
      <c r="LAC152" s="223"/>
      <c r="LAD152" s="223"/>
      <c r="LAE152" s="224"/>
      <c r="LAF152" s="223"/>
      <c r="LAG152" s="223"/>
      <c r="LAH152" s="223"/>
      <c r="LAI152" s="223"/>
      <c r="LAJ152" s="225"/>
      <c r="LAK152" s="220"/>
      <c r="LAL152" s="221"/>
      <c r="LAM152" s="222"/>
      <c r="LAN152" s="222"/>
      <c r="LAO152" s="223"/>
      <c r="LAP152" s="223"/>
      <c r="LAQ152" s="224"/>
      <c r="LAR152" s="223"/>
      <c r="LAS152" s="223"/>
      <c r="LAT152" s="223"/>
      <c r="LAU152" s="223"/>
      <c r="LAV152" s="225"/>
      <c r="LAW152" s="220"/>
      <c r="LAX152" s="221"/>
      <c r="LAY152" s="222"/>
      <c r="LAZ152" s="222"/>
      <c r="LBA152" s="223"/>
      <c r="LBB152" s="223"/>
      <c r="LBC152" s="224"/>
      <c r="LBD152" s="223"/>
      <c r="LBE152" s="223"/>
      <c r="LBF152" s="223"/>
      <c r="LBG152" s="223"/>
      <c r="LBH152" s="225"/>
      <c r="LBI152" s="220"/>
      <c r="LBJ152" s="221"/>
      <c r="LBK152" s="222"/>
      <c r="LBL152" s="222"/>
      <c r="LBM152" s="223"/>
      <c r="LBN152" s="223"/>
      <c r="LBO152" s="224"/>
      <c r="LBP152" s="223"/>
      <c r="LBQ152" s="223"/>
      <c r="LBR152" s="223"/>
      <c r="LBS152" s="223"/>
      <c r="LBT152" s="225"/>
      <c r="LBU152" s="220"/>
      <c r="LBV152" s="221"/>
      <c r="LBW152" s="222"/>
      <c r="LBX152" s="222"/>
      <c r="LBY152" s="223"/>
      <c r="LBZ152" s="223"/>
      <c r="LCA152" s="224"/>
      <c r="LCB152" s="223"/>
      <c r="LCC152" s="223"/>
      <c r="LCD152" s="223"/>
      <c r="LCE152" s="223"/>
      <c r="LCF152" s="225"/>
      <c r="LCG152" s="220"/>
      <c r="LCH152" s="221"/>
      <c r="LCI152" s="222"/>
      <c r="LCJ152" s="222"/>
      <c r="LCK152" s="223"/>
      <c r="LCL152" s="223"/>
      <c r="LCM152" s="224"/>
      <c r="LCN152" s="223"/>
      <c r="LCO152" s="223"/>
      <c r="LCP152" s="223"/>
      <c r="LCQ152" s="223"/>
      <c r="LCR152" s="225"/>
      <c r="LCS152" s="220"/>
      <c r="LCT152" s="221"/>
      <c r="LCU152" s="222"/>
      <c r="LCV152" s="222"/>
      <c r="LCW152" s="223"/>
      <c r="LCX152" s="223"/>
      <c r="LCY152" s="224"/>
      <c r="LCZ152" s="223"/>
      <c r="LDA152" s="223"/>
      <c r="LDB152" s="223"/>
      <c r="LDC152" s="223"/>
      <c r="LDD152" s="225"/>
      <c r="LDE152" s="220"/>
      <c r="LDF152" s="221"/>
      <c r="LDG152" s="222"/>
      <c r="LDH152" s="222"/>
      <c r="LDI152" s="223"/>
      <c r="LDJ152" s="223"/>
      <c r="LDK152" s="224"/>
      <c r="LDL152" s="223"/>
      <c r="LDM152" s="223"/>
      <c r="LDN152" s="223"/>
      <c r="LDO152" s="223"/>
      <c r="LDP152" s="225"/>
      <c r="LDQ152" s="220"/>
      <c r="LDR152" s="221"/>
      <c r="LDS152" s="222"/>
      <c r="LDT152" s="222"/>
      <c r="LDU152" s="223"/>
      <c r="LDV152" s="223"/>
      <c r="LDW152" s="224"/>
      <c r="LDX152" s="223"/>
      <c r="LDY152" s="223"/>
      <c r="LDZ152" s="223"/>
      <c r="LEA152" s="223"/>
      <c r="LEB152" s="225"/>
      <c r="LEC152" s="220"/>
      <c r="LED152" s="221"/>
      <c r="LEE152" s="222"/>
      <c r="LEF152" s="222"/>
      <c r="LEG152" s="223"/>
      <c r="LEH152" s="223"/>
      <c r="LEI152" s="224"/>
      <c r="LEJ152" s="223"/>
      <c r="LEK152" s="223"/>
      <c r="LEL152" s="223"/>
      <c r="LEM152" s="223"/>
      <c r="LEN152" s="225"/>
      <c r="LEO152" s="220"/>
      <c r="LEP152" s="221"/>
      <c r="LEQ152" s="222"/>
      <c r="LER152" s="222"/>
      <c r="LES152" s="223"/>
      <c r="LET152" s="223"/>
      <c r="LEU152" s="224"/>
      <c r="LEV152" s="223"/>
      <c r="LEW152" s="223"/>
      <c r="LEX152" s="223"/>
      <c r="LEY152" s="223"/>
      <c r="LEZ152" s="225"/>
      <c r="LFA152" s="220"/>
      <c r="LFB152" s="221"/>
      <c r="LFC152" s="222"/>
      <c r="LFD152" s="222"/>
      <c r="LFE152" s="223"/>
      <c r="LFF152" s="223"/>
      <c r="LFG152" s="224"/>
      <c r="LFH152" s="223"/>
      <c r="LFI152" s="223"/>
      <c r="LFJ152" s="223"/>
      <c r="LFK152" s="223"/>
      <c r="LFL152" s="225"/>
      <c r="LFM152" s="220"/>
      <c r="LFN152" s="221"/>
      <c r="LFO152" s="222"/>
      <c r="LFP152" s="222"/>
      <c r="LFQ152" s="223"/>
      <c r="LFR152" s="223"/>
      <c r="LFS152" s="224"/>
      <c r="LFT152" s="223"/>
      <c r="LFU152" s="223"/>
      <c r="LFV152" s="223"/>
      <c r="LFW152" s="223"/>
      <c r="LFX152" s="225"/>
      <c r="LFY152" s="220"/>
      <c r="LFZ152" s="221"/>
      <c r="LGA152" s="222"/>
      <c r="LGB152" s="222"/>
      <c r="LGC152" s="223"/>
      <c r="LGD152" s="223"/>
      <c r="LGE152" s="224"/>
      <c r="LGF152" s="223"/>
      <c r="LGG152" s="223"/>
      <c r="LGH152" s="223"/>
      <c r="LGI152" s="223"/>
      <c r="LGJ152" s="225"/>
      <c r="LGK152" s="220"/>
      <c r="LGL152" s="221"/>
      <c r="LGM152" s="222"/>
      <c r="LGN152" s="222"/>
      <c r="LGO152" s="223"/>
      <c r="LGP152" s="223"/>
      <c r="LGQ152" s="224"/>
      <c r="LGR152" s="223"/>
      <c r="LGS152" s="223"/>
      <c r="LGT152" s="223"/>
      <c r="LGU152" s="223"/>
      <c r="LGV152" s="225"/>
      <c r="LGW152" s="220"/>
      <c r="LGX152" s="221"/>
      <c r="LGY152" s="222"/>
      <c r="LGZ152" s="222"/>
      <c r="LHA152" s="223"/>
      <c r="LHB152" s="223"/>
      <c r="LHC152" s="224"/>
      <c r="LHD152" s="223"/>
      <c r="LHE152" s="223"/>
      <c r="LHF152" s="223"/>
      <c r="LHG152" s="223"/>
      <c r="LHH152" s="225"/>
      <c r="LHI152" s="220"/>
      <c r="LHJ152" s="221"/>
      <c r="LHK152" s="222"/>
      <c r="LHL152" s="222"/>
      <c r="LHM152" s="223"/>
      <c r="LHN152" s="223"/>
      <c r="LHO152" s="224"/>
      <c r="LHP152" s="223"/>
      <c r="LHQ152" s="223"/>
      <c r="LHR152" s="223"/>
      <c r="LHS152" s="223"/>
      <c r="LHT152" s="225"/>
      <c r="LHU152" s="220"/>
      <c r="LHV152" s="221"/>
      <c r="LHW152" s="222"/>
      <c r="LHX152" s="222"/>
      <c r="LHY152" s="223"/>
      <c r="LHZ152" s="223"/>
      <c r="LIA152" s="224"/>
      <c r="LIB152" s="223"/>
      <c r="LIC152" s="223"/>
      <c r="LID152" s="223"/>
      <c r="LIE152" s="223"/>
      <c r="LIF152" s="225"/>
      <c r="LIG152" s="220"/>
      <c r="LIH152" s="221"/>
      <c r="LII152" s="222"/>
      <c r="LIJ152" s="222"/>
      <c r="LIK152" s="223"/>
      <c r="LIL152" s="223"/>
      <c r="LIM152" s="224"/>
      <c r="LIN152" s="223"/>
      <c r="LIO152" s="223"/>
      <c r="LIP152" s="223"/>
      <c r="LIQ152" s="223"/>
      <c r="LIR152" s="225"/>
      <c r="LIS152" s="220"/>
      <c r="LIT152" s="221"/>
      <c r="LIU152" s="222"/>
      <c r="LIV152" s="222"/>
      <c r="LIW152" s="223"/>
      <c r="LIX152" s="223"/>
      <c r="LIY152" s="224"/>
      <c r="LIZ152" s="223"/>
      <c r="LJA152" s="223"/>
      <c r="LJB152" s="223"/>
      <c r="LJC152" s="223"/>
      <c r="LJD152" s="225"/>
      <c r="LJE152" s="220"/>
      <c r="LJF152" s="221"/>
      <c r="LJG152" s="222"/>
      <c r="LJH152" s="222"/>
      <c r="LJI152" s="223"/>
      <c r="LJJ152" s="223"/>
      <c r="LJK152" s="224"/>
      <c r="LJL152" s="223"/>
      <c r="LJM152" s="223"/>
      <c r="LJN152" s="223"/>
      <c r="LJO152" s="223"/>
      <c r="LJP152" s="225"/>
      <c r="LJQ152" s="220"/>
      <c r="LJR152" s="221"/>
      <c r="LJS152" s="222"/>
      <c r="LJT152" s="222"/>
      <c r="LJU152" s="223"/>
      <c r="LJV152" s="223"/>
      <c r="LJW152" s="224"/>
      <c r="LJX152" s="223"/>
      <c r="LJY152" s="223"/>
      <c r="LJZ152" s="223"/>
      <c r="LKA152" s="223"/>
      <c r="LKB152" s="225"/>
      <c r="LKC152" s="220"/>
      <c r="LKD152" s="221"/>
      <c r="LKE152" s="222"/>
      <c r="LKF152" s="222"/>
      <c r="LKG152" s="223"/>
      <c r="LKH152" s="223"/>
      <c r="LKI152" s="224"/>
      <c r="LKJ152" s="223"/>
      <c r="LKK152" s="223"/>
      <c r="LKL152" s="223"/>
      <c r="LKM152" s="223"/>
      <c r="LKN152" s="225"/>
      <c r="LKO152" s="220"/>
      <c r="LKP152" s="221"/>
      <c r="LKQ152" s="222"/>
      <c r="LKR152" s="222"/>
      <c r="LKS152" s="223"/>
      <c r="LKT152" s="223"/>
      <c r="LKU152" s="224"/>
      <c r="LKV152" s="223"/>
      <c r="LKW152" s="223"/>
      <c r="LKX152" s="223"/>
      <c r="LKY152" s="223"/>
      <c r="LKZ152" s="225"/>
      <c r="LLA152" s="220"/>
      <c r="LLB152" s="221"/>
      <c r="LLC152" s="222"/>
      <c r="LLD152" s="222"/>
      <c r="LLE152" s="223"/>
      <c r="LLF152" s="223"/>
      <c r="LLG152" s="224"/>
      <c r="LLH152" s="223"/>
      <c r="LLI152" s="223"/>
      <c r="LLJ152" s="223"/>
      <c r="LLK152" s="223"/>
      <c r="LLL152" s="225"/>
      <c r="LLM152" s="220"/>
      <c r="LLN152" s="221"/>
      <c r="LLO152" s="222"/>
      <c r="LLP152" s="222"/>
      <c r="LLQ152" s="223"/>
      <c r="LLR152" s="223"/>
      <c r="LLS152" s="224"/>
      <c r="LLT152" s="223"/>
      <c r="LLU152" s="223"/>
      <c r="LLV152" s="223"/>
      <c r="LLW152" s="223"/>
      <c r="LLX152" s="225"/>
      <c r="LLY152" s="220"/>
      <c r="LLZ152" s="221"/>
      <c r="LMA152" s="222"/>
      <c r="LMB152" s="222"/>
      <c r="LMC152" s="223"/>
      <c r="LMD152" s="223"/>
      <c r="LME152" s="224"/>
      <c r="LMF152" s="223"/>
      <c r="LMG152" s="223"/>
      <c r="LMH152" s="223"/>
      <c r="LMI152" s="223"/>
      <c r="LMJ152" s="225"/>
      <c r="LMK152" s="220"/>
      <c r="LML152" s="221"/>
      <c r="LMM152" s="222"/>
      <c r="LMN152" s="222"/>
      <c r="LMO152" s="223"/>
      <c r="LMP152" s="223"/>
      <c r="LMQ152" s="224"/>
      <c r="LMR152" s="223"/>
      <c r="LMS152" s="223"/>
      <c r="LMT152" s="223"/>
      <c r="LMU152" s="223"/>
      <c r="LMV152" s="225"/>
      <c r="LMW152" s="220"/>
      <c r="LMX152" s="221"/>
      <c r="LMY152" s="222"/>
      <c r="LMZ152" s="222"/>
      <c r="LNA152" s="223"/>
      <c r="LNB152" s="223"/>
      <c r="LNC152" s="224"/>
      <c r="LND152" s="223"/>
      <c r="LNE152" s="223"/>
      <c r="LNF152" s="223"/>
      <c r="LNG152" s="223"/>
      <c r="LNH152" s="225"/>
      <c r="LNI152" s="220"/>
      <c r="LNJ152" s="221"/>
      <c r="LNK152" s="222"/>
      <c r="LNL152" s="222"/>
      <c r="LNM152" s="223"/>
      <c r="LNN152" s="223"/>
      <c r="LNO152" s="224"/>
      <c r="LNP152" s="223"/>
      <c r="LNQ152" s="223"/>
      <c r="LNR152" s="223"/>
      <c r="LNS152" s="223"/>
      <c r="LNT152" s="225"/>
      <c r="LNU152" s="220"/>
      <c r="LNV152" s="221"/>
      <c r="LNW152" s="222"/>
      <c r="LNX152" s="222"/>
      <c r="LNY152" s="223"/>
      <c r="LNZ152" s="223"/>
      <c r="LOA152" s="224"/>
      <c r="LOB152" s="223"/>
      <c r="LOC152" s="223"/>
      <c r="LOD152" s="223"/>
      <c r="LOE152" s="223"/>
      <c r="LOF152" s="225"/>
      <c r="LOG152" s="220"/>
      <c r="LOH152" s="221"/>
      <c r="LOI152" s="222"/>
      <c r="LOJ152" s="222"/>
      <c r="LOK152" s="223"/>
      <c r="LOL152" s="223"/>
      <c r="LOM152" s="224"/>
      <c r="LON152" s="223"/>
      <c r="LOO152" s="223"/>
      <c r="LOP152" s="223"/>
      <c r="LOQ152" s="223"/>
      <c r="LOR152" s="225"/>
      <c r="LOS152" s="220"/>
      <c r="LOT152" s="221"/>
      <c r="LOU152" s="222"/>
      <c r="LOV152" s="222"/>
      <c r="LOW152" s="223"/>
      <c r="LOX152" s="223"/>
      <c r="LOY152" s="224"/>
      <c r="LOZ152" s="223"/>
      <c r="LPA152" s="223"/>
      <c r="LPB152" s="223"/>
      <c r="LPC152" s="223"/>
      <c r="LPD152" s="225"/>
      <c r="LPE152" s="220"/>
      <c r="LPF152" s="221"/>
      <c r="LPG152" s="222"/>
      <c r="LPH152" s="222"/>
      <c r="LPI152" s="223"/>
      <c r="LPJ152" s="223"/>
      <c r="LPK152" s="224"/>
      <c r="LPL152" s="223"/>
      <c r="LPM152" s="223"/>
      <c r="LPN152" s="223"/>
      <c r="LPO152" s="223"/>
      <c r="LPP152" s="225"/>
      <c r="LPQ152" s="220"/>
      <c r="LPR152" s="221"/>
      <c r="LPS152" s="222"/>
      <c r="LPT152" s="222"/>
      <c r="LPU152" s="223"/>
      <c r="LPV152" s="223"/>
      <c r="LPW152" s="224"/>
      <c r="LPX152" s="223"/>
      <c r="LPY152" s="223"/>
      <c r="LPZ152" s="223"/>
      <c r="LQA152" s="223"/>
      <c r="LQB152" s="225"/>
      <c r="LQC152" s="220"/>
      <c r="LQD152" s="221"/>
      <c r="LQE152" s="222"/>
      <c r="LQF152" s="222"/>
      <c r="LQG152" s="223"/>
      <c r="LQH152" s="223"/>
      <c r="LQI152" s="224"/>
      <c r="LQJ152" s="223"/>
      <c r="LQK152" s="223"/>
      <c r="LQL152" s="223"/>
      <c r="LQM152" s="223"/>
      <c r="LQN152" s="225"/>
      <c r="LQO152" s="220"/>
      <c r="LQP152" s="221"/>
      <c r="LQQ152" s="222"/>
      <c r="LQR152" s="222"/>
      <c r="LQS152" s="223"/>
      <c r="LQT152" s="223"/>
      <c r="LQU152" s="224"/>
      <c r="LQV152" s="223"/>
      <c r="LQW152" s="223"/>
      <c r="LQX152" s="223"/>
      <c r="LQY152" s="223"/>
      <c r="LQZ152" s="225"/>
      <c r="LRA152" s="220"/>
      <c r="LRB152" s="221"/>
      <c r="LRC152" s="222"/>
      <c r="LRD152" s="222"/>
      <c r="LRE152" s="223"/>
      <c r="LRF152" s="223"/>
      <c r="LRG152" s="224"/>
      <c r="LRH152" s="223"/>
      <c r="LRI152" s="223"/>
      <c r="LRJ152" s="223"/>
      <c r="LRK152" s="223"/>
      <c r="LRL152" s="225"/>
      <c r="LRM152" s="220"/>
      <c r="LRN152" s="221"/>
      <c r="LRO152" s="222"/>
      <c r="LRP152" s="222"/>
      <c r="LRQ152" s="223"/>
      <c r="LRR152" s="223"/>
      <c r="LRS152" s="224"/>
      <c r="LRT152" s="223"/>
      <c r="LRU152" s="223"/>
      <c r="LRV152" s="223"/>
      <c r="LRW152" s="223"/>
      <c r="LRX152" s="225"/>
      <c r="LRY152" s="220"/>
      <c r="LRZ152" s="221"/>
      <c r="LSA152" s="222"/>
      <c r="LSB152" s="222"/>
      <c r="LSC152" s="223"/>
      <c r="LSD152" s="223"/>
      <c r="LSE152" s="224"/>
      <c r="LSF152" s="223"/>
      <c r="LSG152" s="223"/>
      <c r="LSH152" s="223"/>
      <c r="LSI152" s="223"/>
      <c r="LSJ152" s="225"/>
      <c r="LSK152" s="220"/>
      <c r="LSL152" s="221"/>
      <c r="LSM152" s="222"/>
      <c r="LSN152" s="222"/>
      <c r="LSO152" s="223"/>
      <c r="LSP152" s="223"/>
      <c r="LSQ152" s="224"/>
      <c r="LSR152" s="223"/>
      <c r="LSS152" s="223"/>
      <c r="LST152" s="223"/>
      <c r="LSU152" s="223"/>
      <c r="LSV152" s="225"/>
      <c r="LSW152" s="220"/>
      <c r="LSX152" s="221"/>
      <c r="LSY152" s="222"/>
      <c r="LSZ152" s="222"/>
      <c r="LTA152" s="223"/>
      <c r="LTB152" s="223"/>
      <c r="LTC152" s="224"/>
      <c r="LTD152" s="223"/>
      <c r="LTE152" s="223"/>
      <c r="LTF152" s="223"/>
      <c r="LTG152" s="223"/>
      <c r="LTH152" s="225"/>
      <c r="LTI152" s="220"/>
      <c r="LTJ152" s="221"/>
      <c r="LTK152" s="222"/>
      <c r="LTL152" s="222"/>
      <c r="LTM152" s="223"/>
      <c r="LTN152" s="223"/>
      <c r="LTO152" s="224"/>
      <c r="LTP152" s="223"/>
      <c r="LTQ152" s="223"/>
      <c r="LTR152" s="223"/>
      <c r="LTS152" s="223"/>
      <c r="LTT152" s="225"/>
      <c r="LTU152" s="220"/>
      <c r="LTV152" s="221"/>
      <c r="LTW152" s="222"/>
      <c r="LTX152" s="222"/>
      <c r="LTY152" s="223"/>
      <c r="LTZ152" s="223"/>
      <c r="LUA152" s="224"/>
      <c r="LUB152" s="223"/>
      <c r="LUC152" s="223"/>
      <c r="LUD152" s="223"/>
      <c r="LUE152" s="223"/>
      <c r="LUF152" s="225"/>
      <c r="LUG152" s="220"/>
      <c r="LUH152" s="221"/>
      <c r="LUI152" s="222"/>
      <c r="LUJ152" s="222"/>
      <c r="LUK152" s="223"/>
      <c r="LUL152" s="223"/>
      <c r="LUM152" s="224"/>
      <c r="LUN152" s="223"/>
      <c r="LUO152" s="223"/>
      <c r="LUP152" s="223"/>
      <c r="LUQ152" s="223"/>
      <c r="LUR152" s="225"/>
      <c r="LUS152" s="220"/>
      <c r="LUT152" s="221"/>
      <c r="LUU152" s="222"/>
      <c r="LUV152" s="222"/>
      <c r="LUW152" s="223"/>
      <c r="LUX152" s="223"/>
      <c r="LUY152" s="224"/>
      <c r="LUZ152" s="223"/>
      <c r="LVA152" s="223"/>
      <c r="LVB152" s="223"/>
      <c r="LVC152" s="223"/>
      <c r="LVD152" s="225"/>
      <c r="LVE152" s="220"/>
      <c r="LVF152" s="221"/>
      <c r="LVG152" s="222"/>
      <c r="LVH152" s="222"/>
      <c r="LVI152" s="223"/>
      <c r="LVJ152" s="223"/>
      <c r="LVK152" s="224"/>
      <c r="LVL152" s="223"/>
      <c r="LVM152" s="223"/>
      <c r="LVN152" s="223"/>
      <c r="LVO152" s="223"/>
      <c r="LVP152" s="225"/>
      <c r="LVQ152" s="220"/>
      <c r="LVR152" s="221"/>
      <c r="LVS152" s="222"/>
      <c r="LVT152" s="222"/>
      <c r="LVU152" s="223"/>
      <c r="LVV152" s="223"/>
      <c r="LVW152" s="224"/>
      <c r="LVX152" s="223"/>
      <c r="LVY152" s="223"/>
      <c r="LVZ152" s="223"/>
      <c r="LWA152" s="223"/>
      <c r="LWB152" s="225"/>
      <c r="LWC152" s="220"/>
      <c r="LWD152" s="221"/>
      <c r="LWE152" s="222"/>
      <c r="LWF152" s="222"/>
      <c r="LWG152" s="223"/>
      <c r="LWH152" s="223"/>
      <c r="LWI152" s="224"/>
      <c r="LWJ152" s="223"/>
      <c r="LWK152" s="223"/>
      <c r="LWL152" s="223"/>
      <c r="LWM152" s="223"/>
      <c r="LWN152" s="225"/>
      <c r="LWO152" s="220"/>
      <c r="LWP152" s="221"/>
      <c r="LWQ152" s="222"/>
      <c r="LWR152" s="222"/>
      <c r="LWS152" s="223"/>
      <c r="LWT152" s="223"/>
      <c r="LWU152" s="224"/>
      <c r="LWV152" s="223"/>
      <c r="LWW152" s="223"/>
      <c r="LWX152" s="223"/>
      <c r="LWY152" s="223"/>
      <c r="LWZ152" s="225"/>
      <c r="LXA152" s="220"/>
      <c r="LXB152" s="221"/>
      <c r="LXC152" s="222"/>
      <c r="LXD152" s="222"/>
      <c r="LXE152" s="223"/>
      <c r="LXF152" s="223"/>
      <c r="LXG152" s="224"/>
      <c r="LXH152" s="223"/>
      <c r="LXI152" s="223"/>
      <c r="LXJ152" s="223"/>
      <c r="LXK152" s="223"/>
      <c r="LXL152" s="225"/>
      <c r="LXM152" s="220"/>
      <c r="LXN152" s="221"/>
      <c r="LXO152" s="222"/>
      <c r="LXP152" s="222"/>
      <c r="LXQ152" s="223"/>
      <c r="LXR152" s="223"/>
      <c r="LXS152" s="224"/>
      <c r="LXT152" s="223"/>
      <c r="LXU152" s="223"/>
      <c r="LXV152" s="223"/>
      <c r="LXW152" s="223"/>
      <c r="LXX152" s="225"/>
      <c r="LXY152" s="220"/>
      <c r="LXZ152" s="221"/>
      <c r="LYA152" s="222"/>
      <c r="LYB152" s="222"/>
      <c r="LYC152" s="223"/>
      <c r="LYD152" s="223"/>
      <c r="LYE152" s="224"/>
      <c r="LYF152" s="223"/>
      <c r="LYG152" s="223"/>
      <c r="LYH152" s="223"/>
      <c r="LYI152" s="223"/>
      <c r="LYJ152" s="225"/>
      <c r="LYK152" s="220"/>
      <c r="LYL152" s="221"/>
      <c r="LYM152" s="222"/>
      <c r="LYN152" s="222"/>
      <c r="LYO152" s="223"/>
      <c r="LYP152" s="223"/>
      <c r="LYQ152" s="224"/>
      <c r="LYR152" s="223"/>
      <c r="LYS152" s="223"/>
      <c r="LYT152" s="223"/>
      <c r="LYU152" s="223"/>
      <c r="LYV152" s="225"/>
      <c r="LYW152" s="220"/>
      <c r="LYX152" s="221"/>
      <c r="LYY152" s="222"/>
      <c r="LYZ152" s="222"/>
      <c r="LZA152" s="223"/>
      <c r="LZB152" s="223"/>
      <c r="LZC152" s="224"/>
      <c r="LZD152" s="223"/>
      <c r="LZE152" s="223"/>
      <c r="LZF152" s="223"/>
      <c r="LZG152" s="223"/>
      <c r="LZH152" s="225"/>
      <c r="LZI152" s="220"/>
      <c r="LZJ152" s="221"/>
      <c r="LZK152" s="222"/>
      <c r="LZL152" s="222"/>
      <c r="LZM152" s="223"/>
      <c r="LZN152" s="223"/>
      <c r="LZO152" s="224"/>
      <c r="LZP152" s="223"/>
      <c r="LZQ152" s="223"/>
      <c r="LZR152" s="223"/>
      <c r="LZS152" s="223"/>
      <c r="LZT152" s="225"/>
      <c r="LZU152" s="220"/>
      <c r="LZV152" s="221"/>
      <c r="LZW152" s="222"/>
      <c r="LZX152" s="222"/>
      <c r="LZY152" s="223"/>
      <c r="LZZ152" s="223"/>
      <c r="MAA152" s="224"/>
      <c r="MAB152" s="223"/>
      <c r="MAC152" s="223"/>
      <c r="MAD152" s="223"/>
      <c r="MAE152" s="223"/>
      <c r="MAF152" s="225"/>
      <c r="MAG152" s="220"/>
      <c r="MAH152" s="221"/>
      <c r="MAI152" s="222"/>
      <c r="MAJ152" s="222"/>
      <c r="MAK152" s="223"/>
      <c r="MAL152" s="223"/>
      <c r="MAM152" s="224"/>
      <c r="MAN152" s="223"/>
      <c r="MAO152" s="223"/>
      <c r="MAP152" s="223"/>
      <c r="MAQ152" s="223"/>
      <c r="MAR152" s="225"/>
      <c r="MAS152" s="220"/>
      <c r="MAT152" s="221"/>
      <c r="MAU152" s="222"/>
      <c r="MAV152" s="222"/>
      <c r="MAW152" s="223"/>
      <c r="MAX152" s="223"/>
      <c r="MAY152" s="224"/>
      <c r="MAZ152" s="223"/>
      <c r="MBA152" s="223"/>
      <c r="MBB152" s="223"/>
      <c r="MBC152" s="223"/>
      <c r="MBD152" s="225"/>
      <c r="MBE152" s="220"/>
      <c r="MBF152" s="221"/>
      <c r="MBG152" s="222"/>
      <c r="MBH152" s="222"/>
      <c r="MBI152" s="223"/>
      <c r="MBJ152" s="223"/>
      <c r="MBK152" s="224"/>
      <c r="MBL152" s="223"/>
      <c r="MBM152" s="223"/>
      <c r="MBN152" s="223"/>
      <c r="MBO152" s="223"/>
      <c r="MBP152" s="225"/>
      <c r="MBQ152" s="220"/>
      <c r="MBR152" s="221"/>
      <c r="MBS152" s="222"/>
      <c r="MBT152" s="222"/>
      <c r="MBU152" s="223"/>
      <c r="MBV152" s="223"/>
      <c r="MBW152" s="224"/>
      <c r="MBX152" s="223"/>
      <c r="MBY152" s="223"/>
      <c r="MBZ152" s="223"/>
      <c r="MCA152" s="223"/>
      <c r="MCB152" s="225"/>
      <c r="MCC152" s="220"/>
      <c r="MCD152" s="221"/>
      <c r="MCE152" s="222"/>
      <c r="MCF152" s="222"/>
      <c r="MCG152" s="223"/>
      <c r="MCH152" s="223"/>
      <c r="MCI152" s="224"/>
      <c r="MCJ152" s="223"/>
      <c r="MCK152" s="223"/>
      <c r="MCL152" s="223"/>
      <c r="MCM152" s="223"/>
      <c r="MCN152" s="225"/>
      <c r="MCO152" s="220"/>
      <c r="MCP152" s="221"/>
      <c r="MCQ152" s="222"/>
      <c r="MCR152" s="222"/>
      <c r="MCS152" s="223"/>
      <c r="MCT152" s="223"/>
      <c r="MCU152" s="224"/>
      <c r="MCV152" s="223"/>
      <c r="MCW152" s="223"/>
      <c r="MCX152" s="223"/>
      <c r="MCY152" s="223"/>
      <c r="MCZ152" s="225"/>
      <c r="MDA152" s="220"/>
      <c r="MDB152" s="221"/>
      <c r="MDC152" s="222"/>
      <c r="MDD152" s="222"/>
      <c r="MDE152" s="223"/>
      <c r="MDF152" s="223"/>
      <c r="MDG152" s="224"/>
      <c r="MDH152" s="223"/>
      <c r="MDI152" s="223"/>
      <c r="MDJ152" s="223"/>
      <c r="MDK152" s="223"/>
      <c r="MDL152" s="225"/>
      <c r="MDM152" s="220"/>
      <c r="MDN152" s="221"/>
      <c r="MDO152" s="222"/>
      <c r="MDP152" s="222"/>
      <c r="MDQ152" s="223"/>
      <c r="MDR152" s="223"/>
      <c r="MDS152" s="224"/>
      <c r="MDT152" s="223"/>
      <c r="MDU152" s="223"/>
      <c r="MDV152" s="223"/>
      <c r="MDW152" s="223"/>
      <c r="MDX152" s="225"/>
      <c r="MDY152" s="220"/>
      <c r="MDZ152" s="221"/>
      <c r="MEA152" s="222"/>
      <c r="MEB152" s="222"/>
      <c r="MEC152" s="223"/>
      <c r="MED152" s="223"/>
      <c r="MEE152" s="224"/>
      <c r="MEF152" s="223"/>
      <c r="MEG152" s="223"/>
      <c r="MEH152" s="223"/>
      <c r="MEI152" s="223"/>
      <c r="MEJ152" s="225"/>
      <c r="MEK152" s="220"/>
      <c r="MEL152" s="221"/>
      <c r="MEM152" s="222"/>
      <c r="MEN152" s="222"/>
      <c r="MEO152" s="223"/>
      <c r="MEP152" s="223"/>
      <c r="MEQ152" s="224"/>
      <c r="MER152" s="223"/>
      <c r="MES152" s="223"/>
      <c r="MET152" s="223"/>
      <c r="MEU152" s="223"/>
      <c r="MEV152" s="225"/>
      <c r="MEW152" s="220"/>
      <c r="MEX152" s="221"/>
      <c r="MEY152" s="222"/>
      <c r="MEZ152" s="222"/>
      <c r="MFA152" s="223"/>
      <c r="MFB152" s="223"/>
      <c r="MFC152" s="224"/>
      <c r="MFD152" s="223"/>
      <c r="MFE152" s="223"/>
      <c r="MFF152" s="223"/>
      <c r="MFG152" s="223"/>
      <c r="MFH152" s="225"/>
      <c r="MFI152" s="220"/>
      <c r="MFJ152" s="221"/>
      <c r="MFK152" s="222"/>
      <c r="MFL152" s="222"/>
      <c r="MFM152" s="223"/>
      <c r="MFN152" s="223"/>
      <c r="MFO152" s="224"/>
      <c r="MFP152" s="223"/>
      <c r="MFQ152" s="223"/>
      <c r="MFR152" s="223"/>
      <c r="MFS152" s="223"/>
      <c r="MFT152" s="225"/>
      <c r="MFU152" s="220"/>
      <c r="MFV152" s="221"/>
      <c r="MFW152" s="222"/>
      <c r="MFX152" s="222"/>
      <c r="MFY152" s="223"/>
      <c r="MFZ152" s="223"/>
      <c r="MGA152" s="224"/>
      <c r="MGB152" s="223"/>
      <c r="MGC152" s="223"/>
      <c r="MGD152" s="223"/>
      <c r="MGE152" s="223"/>
      <c r="MGF152" s="225"/>
      <c r="MGG152" s="220"/>
      <c r="MGH152" s="221"/>
      <c r="MGI152" s="222"/>
      <c r="MGJ152" s="222"/>
      <c r="MGK152" s="223"/>
      <c r="MGL152" s="223"/>
      <c r="MGM152" s="224"/>
      <c r="MGN152" s="223"/>
      <c r="MGO152" s="223"/>
      <c r="MGP152" s="223"/>
      <c r="MGQ152" s="223"/>
      <c r="MGR152" s="225"/>
      <c r="MGS152" s="220"/>
      <c r="MGT152" s="221"/>
      <c r="MGU152" s="222"/>
      <c r="MGV152" s="222"/>
      <c r="MGW152" s="223"/>
      <c r="MGX152" s="223"/>
      <c r="MGY152" s="224"/>
      <c r="MGZ152" s="223"/>
      <c r="MHA152" s="223"/>
      <c r="MHB152" s="223"/>
      <c r="MHC152" s="223"/>
      <c r="MHD152" s="225"/>
      <c r="MHE152" s="220"/>
      <c r="MHF152" s="221"/>
      <c r="MHG152" s="222"/>
      <c r="MHH152" s="222"/>
      <c r="MHI152" s="223"/>
      <c r="MHJ152" s="223"/>
      <c r="MHK152" s="224"/>
      <c r="MHL152" s="223"/>
      <c r="MHM152" s="223"/>
      <c r="MHN152" s="223"/>
      <c r="MHO152" s="223"/>
      <c r="MHP152" s="225"/>
      <c r="MHQ152" s="220"/>
      <c r="MHR152" s="221"/>
      <c r="MHS152" s="222"/>
      <c r="MHT152" s="222"/>
      <c r="MHU152" s="223"/>
      <c r="MHV152" s="223"/>
      <c r="MHW152" s="224"/>
      <c r="MHX152" s="223"/>
      <c r="MHY152" s="223"/>
      <c r="MHZ152" s="223"/>
      <c r="MIA152" s="223"/>
      <c r="MIB152" s="225"/>
      <c r="MIC152" s="220"/>
      <c r="MID152" s="221"/>
      <c r="MIE152" s="222"/>
      <c r="MIF152" s="222"/>
      <c r="MIG152" s="223"/>
      <c r="MIH152" s="223"/>
      <c r="MII152" s="224"/>
      <c r="MIJ152" s="223"/>
      <c r="MIK152" s="223"/>
      <c r="MIL152" s="223"/>
      <c r="MIM152" s="223"/>
      <c r="MIN152" s="225"/>
      <c r="MIO152" s="220"/>
      <c r="MIP152" s="221"/>
      <c r="MIQ152" s="222"/>
      <c r="MIR152" s="222"/>
      <c r="MIS152" s="223"/>
      <c r="MIT152" s="223"/>
      <c r="MIU152" s="224"/>
      <c r="MIV152" s="223"/>
      <c r="MIW152" s="223"/>
      <c r="MIX152" s="223"/>
      <c r="MIY152" s="223"/>
      <c r="MIZ152" s="225"/>
      <c r="MJA152" s="220"/>
      <c r="MJB152" s="221"/>
      <c r="MJC152" s="222"/>
      <c r="MJD152" s="222"/>
      <c r="MJE152" s="223"/>
      <c r="MJF152" s="223"/>
      <c r="MJG152" s="224"/>
      <c r="MJH152" s="223"/>
      <c r="MJI152" s="223"/>
      <c r="MJJ152" s="223"/>
      <c r="MJK152" s="223"/>
      <c r="MJL152" s="225"/>
      <c r="MJM152" s="220"/>
      <c r="MJN152" s="221"/>
      <c r="MJO152" s="222"/>
      <c r="MJP152" s="222"/>
      <c r="MJQ152" s="223"/>
      <c r="MJR152" s="223"/>
      <c r="MJS152" s="224"/>
      <c r="MJT152" s="223"/>
      <c r="MJU152" s="223"/>
      <c r="MJV152" s="223"/>
      <c r="MJW152" s="223"/>
      <c r="MJX152" s="225"/>
      <c r="MJY152" s="220"/>
      <c r="MJZ152" s="221"/>
      <c r="MKA152" s="222"/>
      <c r="MKB152" s="222"/>
      <c r="MKC152" s="223"/>
      <c r="MKD152" s="223"/>
      <c r="MKE152" s="224"/>
      <c r="MKF152" s="223"/>
      <c r="MKG152" s="223"/>
      <c r="MKH152" s="223"/>
      <c r="MKI152" s="223"/>
      <c r="MKJ152" s="225"/>
      <c r="MKK152" s="220"/>
      <c r="MKL152" s="221"/>
      <c r="MKM152" s="222"/>
      <c r="MKN152" s="222"/>
      <c r="MKO152" s="223"/>
      <c r="MKP152" s="223"/>
      <c r="MKQ152" s="224"/>
      <c r="MKR152" s="223"/>
      <c r="MKS152" s="223"/>
      <c r="MKT152" s="223"/>
      <c r="MKU152" s="223"/>
      <c r="MKV152" s="225"/>
      <c r="MKW152" s="220"/>
      <c r="MKX152" s="221"/>
      <c r="MKY152" s="222"/>
      <c r="MKZ152" s="222"/>
      <c r="MLA152" s="223"/>
      <c r="MLB152" s="223"/>
      <c r="MLC152" s="224"/>
      <c r="MLD152" s="223"/>
      <c r="MLE152" s="223"/>
      <c r="MLF152" s="223"/>
      <c r="MLG152" s="223"/>
      <c r="MLH152" s="225"/>
      <c r="MLI152" s="220"/>
      <c r="MLJ152" s="221"/>
      <c r="MLK152" s="222"/>
      <c r="MLL152" s="222"/>
      <c r="MLM152" s="223"/>
      <c r="MLN152" s="223"/>
      <c r="MLO152" s="224"/>
      <c r="MLP152" s="223"/>
      <c r="MLQ152" s="223"/>
      <c r="MLR152" s="223"/>
      <c r="MLS152" s="223"/>
      <c r="MLT152" s="225"/>
      <c r="MLU152" s="220"/>
      <c r="MLV152" s="221"/>
      <c r="MLW152" s="222"/>
      <c r="MLX152" s="222"/>
      <c r="MLY152" s="223"/>
      <c r="MLZ152" s="223"/>
      <c r="MMA152" s="224"/>
      <c r="MMB152" s="223"/>
      <c r="MMC152" s="223"/>
      <c r="MMD152" s="223"/>
      <c r="MME152" s="223"/>
      <c r="MMF152" s="225"/>
      <c r="MMG152" s="220"/>
      <c r="MMH152" s="221"/>
      <c r="MMI152" s="222"/>
      <c r="MMJ152" s="222"/>
      <c r="MMK152" s="223"/>
      <c r="MML152" s="223"/>
      <c r="MMM152" s="224"/>
      <c r="MMN152" s="223"/>
      <c r="MMO152" s="223"/>
      <c r="MMP152" s="223"/>
      <c r="MMQ152" s="223"/>
      <c r="MMR152" s="225"/>
      <c r="MMS152" s="220"/>
      <c r="MMT152" s="221"/>
      <c r="MMU152" s="222"/>
      <c r="MMV152" s="222"/>
      <c r="MMW152" s="223"/>
      <c r="MMX152" s="223"/>
      <c r="MMY152" s="224"/>
      <c r="MMZ152" s="223"/>
      <c r="MNA152" s="223"/>
      <c r="MNB152" s="223"/>
      <c r="MNC152" s="223"/>
      <c r="MND152" s="225"/>
      <c r="MNE152" s="220"/>
      <c r="MNF152" s="221"/>
      <c r="MNG152" s="222"/>
      <c r="MNH152" s="222"/>
      <c r="MNI152" s="223"/>
      <c r="MNJ152" s="223"/>
      <c r="MNK152" s="224"/>
      <c r="MNL152" s="223"/>
      <c r="MNM152" s="223"/>
      <c r="MNN152" s="223"/>
      <c r="MNO152" s="223"/>
      <c r="MNP152" s="225"/>
      <c r="MNQ152" s="220"/>
      <c r="MNR152" s="221"/>
      <c r="MNS152" s="222"/>
      <c r="MNT152" s="222"/>
      <c r="MNU152" s="223"/>
      <c r="MNV152" s="223"/>
      <c r="MNW152" s="224"/>
      <c r="MNX152" s="223"/>
      <c r="MNY152" s="223"/>
      <c r="MNZ152" s="223"/>
      <c r="MOA152" s="223"/>
      <c r="MOB152" s="225"/>
      <c r="MOC152" s="220"/>
      <c r="MOD152" s="221"/>
      <c r="MOE152" s="222"/>
      <c r="MOF152" s="222"/>
      <c r="MOG152" s="223"/>
      <c r="MOH152" s="223"/>
      <c r="MOI152" s="224"/>
      <c r="MOJ152" s="223"/>
      <c r="MOK152" s="223"/>
      <c r="MOL152" s="223"/>
      <c r="MOM152" s="223"/>
      <c r="MON152" s="225"/>
      <c r="MOO152" s="220"/>
      <c r="MOP152" s="221"/>
      <c r="MOQ152" s="222"/>
      <c r="MOR152" s="222"/>
      <c r="MOS152" s="223"/>
      <c r="MOT152" s="223"/>
      <c r="MOU152" s="224"/>
      <c r="MOV152" s="223"/>
      <c r="MOW152" s="223"/>
      <c r="MOX152" s="223"/>
      <c r="MOY152" s="223"/>
      <c r="MOZ152" s="225"/>
      <c r="MPA152" s="220"/>
      <c r="MPB152" s="221"/>
      <c r="MPC152" s="222"/>
      <c r="MPD152" s="222"/>
      <c r="MPE152" s="223"/>
      <c r="MPF152" s="223"/>
      <c r="MPG152" s="224"/>
      <c r="MPH152" s="223"/>
      <c r="MPI152" s="223"/>
      <c r="MPJ152" s="223"/>
      <c r="MPK152" s="223"/>
      <c r="MPL152" s="225"/>
      <c r="MPM152" s="220"/>
      <c r="MPN152" s="221"/>
      <c r="MPO152" s="222"/>
      <c r="MPP152" s="222"/>
      <c r="MPQ152" s="223"/>
      <c r="MPR152" s="223"/>
      <c r="MPS152" s="224"/>
      <c r="MPT152" s="223"/>
      <c r="MPU152" s="223"/>
      <c r="MPV152" s="223"/>
      <c r="MPW152" s="223"/>
      <c r="MPX152" s="225"/>
      <c r="MPY152" s="220"/>
      <c r="MPZ152" s="221"/>
      <c r="MQA152" s="222"/>
      <c r="MQB152" s="222"/>
      <c r="MQC152" s="223"/>
      <c r="MQD152" s="223"/>
      <c r="MQE152" s="224"/>
      <c r="MQF152" s="223"/>
      <c r="MQG152" s="223"/>
      <c r="MQH152" s="223"/>
      <c r="MQI152" s="223"/>
      <c r="MQJ152" s="225"/>
      <c r="MQK152" s="220"/>
      <c r="MQL152" s="221"/>
      <c r="MQM152" s="222"/>
      <c r="MQN152" s="222"/>
      <c r="MQO152" s="223"/>
      <c r="MQP152" s="223"/>
      <c r="MQQ152" s="224"/>
      <c r="MQR152" s="223"/>
      <c r="MQS152" s="223"/>
      <c r="MQT152" s="223"/>
      <c r="MQU152" s="223"/>
      <c r="MQV152" s="225"/>
      <c r="MQW152" s="220"/>
      <c r="MQX152" s="221"/>
      <c r="MQY152" s="222"/>
      <c r="MQZ152" s="222"/>
      <c r="MRA152" s="223"/>
      <c r="MRB152" s="223"/>
      <c r="MRC152" s="224"/>
      <c r="MRD152" s="223"/>
      <c r="MRE152" s="223"/>
      <c r="MRF152" s="223"/>
      <c r="MRG152" s="223"/>
      <c r="MRH152" s="225"/>
      <c r="MRI152" s="220"/>
      <c r="MRJ152" s="221"/>
      <c r="MRK152" s="222"/>
      <c r="MRL152" s="222"/>
      <c r="MRM152" s="223"/>
      <c r="MRN152" s="223"/>
      <c r="MRO152" s="224"/>
      <c r="MRP152" s="223"/>
      <c r="MRQ152" s="223"/>
      <c r="MRR152" s="223"/>
      <c r="MRS152" s="223"/>
      <c r="MRT152" s="225"/>
      <c r="MRU152" s="220"/>
      <c r="MRV152" s="221"/>
      <c r="MRW152" s="222"/>
      <c r="MRX152" s="222"/>
      <c r="MRY152" s="223"/>
      <c r="MRZ152" s="223"/>
      <c r="MSA152" s="224"/>
      <c r="MSB152" s="223"/>
      <c r="MSC152" s="223"/>
      <c r="MSD152" s="223"/>
      <c r="MSE152" s="223"/>
      <c r="MSF152" s="225"/>
      <c r="MSG152" s="220"/>
      <c r="MSH152" s="221"/>
      <c r="MSI152" s="222"/>
      <c r="MSJ152" s="222"/>
      <c r="MSK152" s="223"/>
      <c r="MSL152" s="223"/>
      <c r="MSM152" s="224"/>
      <c r="MSN152" s="223"/>
      <c r="MSO152" s="223"/>
      <c r="MSP152" s="223"/>
      <c r="MSQ152" s="223"/>
      <c r="MSR152" s="225"/>
      <c r="MSS152" s="220"/>
      <c r="MST152" s="221"/>
      <c r="MSU152" s="222"/>
      <c r="MSV152" s="222"/>
      <c r="MSW152" s="223"/>
      <c r="MSX152" s="223"/>
      <c r="MSY152" s="224"/>
      <c r="MSZ152" s="223"/>
      <c r="MTA152" s="223"/>
      <c r="MTB152" s="223"/>
      <c r="MTC152" s="223"/>
      <c r="MTD152" s="225"/>
      <c r="MTE152" s="220"/>
      <c r="MTF152" s="221"/>
      <c r="MTG152" s="222"/>
      <c r="MTH152" s="222"/>
      <c r="MTI152" s="223"/>
      <c r="MTJ152" s="223"/>
      <c r="MTK152" s="224"/>
      <c r="MTL152" s="223"/>
      <c r="MTM152" s="223"/>
      <c r="MTN152" s="223"/>
      <c r="MTO152" s="223"/>
      <c r="MTP152" s="225"/>
      <c r="MTQ152" s="220"/>
      <c r="MTR152" s="221"/>
      <c r="MTS152" s="222"/>
      <c r="MTT152" s="222"/>
      <c r="MTU152" s="223"/>
      <c r="MTV152" s="223"/>
      <c r="MTW152" s="224"/>
      <c r="MTX152" s="223"/>
      <c r="MTY152" s="223"/>
      <c r="MTZ152" s="223"/>
      <c r="MUA152" s="223"/>
      <c r="MUB152" s="225"/>
      <c r="MUC152" s="220"/>
      <c r="MUD152" s="221"/>
      <c r="MUE152" s="222"/>
      <c r="MUF152" s="222"/>
      <c r="MUG152" s="223"/>
      <c r="MUH152" s="223"/>
      <c r="MUI152" s="224"/>
      <c r="MUJ152" s="223"/>
      <c r="MUK152" s="223"/>
      <c r="MUL152" s="223"/>
      <c r="MUM152" s="223"/>
      <c r="MUN152" s="225"/>
      <c r="MUO152" s="220"/>
      <c r="MUP152" s="221"/>
      <c r="MUQ152" s="222"/>
      <c r="MUR152" s="222"/>
      <c r="MUS152" s="223"/>
      <c r="MUT152" s="223"/>
      <c r="MUU152" s="224"/>
      <c r="MUV152" s="223"/>
      <c r="MUW152" s="223"/>
      <c r="MUX152" s="223"/>
      <c r="MUY152" s="223"/>
      <c r="MUZ152" s="225"/>
      <c r="MVA152" s="220"/>
      <c r="MVB152" s="221"/>
      <c r="MVC152" s="222"/>
      <c r="MVD152" s="222"/>
      <c r="MVE152" s="223"/>
      <c r="MVF152" s="223"/>
      <c r="MVG152" s="224"/>
      <c r="MVH152" s="223"/>
      <c r="MVI152" s="223"/>
      <c r="MVJ152" s="223"/>
      <c r="MVK152" s="223"/>
      <c r="MVL152" s="225"/>
      <c r="MVM152" s="220"/>
      <c r="MVN152" s="221"/>
      <c r="MVO152" s="222"/>
      <c r="MVP152" s="222"/>
      <c r="MVQ152" s="223"/>
      <c r="MVR152" s="223"/>
      <c r="MVS152" s="224"/>
      <c r="MVT152" s="223"/>
      <c r="MVU152" s="223"/>
      <c r="MVV152" s="223"/>
      <c r="MVW152" s="223"/>
      <c r="MVX152" s="225"/>
      <c r="MVY152" s="220"/>
      <c r="MVZ152" s="221"/>
      <c r="MWA152" s="222"/>
      <c r="MWB152" s="222"/>
      <c r="MWC152" s="223"/>
      <c r="MWD152" s="223"/>
      <c r="MWE152" s="224"/>
      <c r="MWF152" s="223"/>
      <c r="MWG152" s="223"/>
      <c r="MWH152" s="223"/>
      <c r="MWI152" s="223"/>
      <c r="MWJ152" s="225"/>
      <c r="MWK152" s="220"/>
      <c r="MWL152" s="221"/>
      <c r="MWM152" s="222"/>
      <c r="MWN152" s="222"/>
      <c r="MWO152" s="223"/>
      <c r="MWP152" s="223"/>
      <c r="MWQ152" s="224"/>
      <c r="MWR152" s="223"/>
      <c r="MWS152" s="223"/>
      <c r="MWT152" s="223"/>
      <c r="MWU152" s="223"/>
      <c r="MWV152" s="225"/>
      <c r="MWW152" s="220"/>
      <c r="MWX152" s="221"/>
      <c r="MWY152" s="222"/>
      <c r="MWZ152" s="222"/>
      <c r="MXA152" s="223"/>
      <c r="MXB152" s="223"/>
      <c r="MXC152" s="224"/>
      <c r="MXD152" s="223"/>
      <c r="MXE152" s="223"/>
      <c r="MXF152" s="223"/>
      <c r="MXG152" s="223"/>
      <c r="MXH152" s="225"/>
      <c r="MXI152" s="220"/>
      <c r="MXJ152" s="221"/>
      <c r="MXK152" s="222"/>
      <c r="MXL152" s="222"/>
      <c r="MXM152" s="223"/>
      <c r="MXN152" s="223"/>
      <c r="MXO152" s="224"/>
      <c r="MXP152" s="223"/>
      <c r="MXQ152" s="223"/>
      <c r="MXR152" s="223"/>
      <c r="MXS152" s="223"/>
      <c r="MXT152" s="225"/>
      <c r="MXU152" s="220"/>
      <c r="MXV152" s="221"/>
      <c r="MXW152" s="222"/>
      <c r="MXX152" s="222"/>
      <c r="MXY152" s="223"/>
      <c r="MXZ152" s="223"/>
      <c r="MYA152" s="224"/>
      <c r="MYB152" s="223"/>
      <c r="MYC152" s="223"/>
      <c r="MYD152" s="223"/>
      <c r="MYE152" s="223"/>
      <c r="MYF152" s="225"/>
      <c r="MYG152" s="220"/>
      <c r="MYH152" s="221"/>
      <c r="MYI152" s="222"/>
      <c r="MYJ152" s="222"/>
      <c r="MYK152" s="223"/>
      <c r="MYL152" s="223"/>
      <c r="MYM152" s="224"/>
      <c r="MYN152" s="223"/>
      <c r="MYO152" s="223"/>
      <c r="MYP152" s="223"/>
      <c r="MYQ152" s="223"/>
      <c r="MYR152" s="225"/>
      <c r="MYS152" s="220"/>
      <c r="MYT152" s="221"/>
      <c r="MYU152" s="222"/>
      <c r="MYV152" s="222"/>
      <c r="MYW152" s="223"/>
      <c r="MYX152" s="223"/>
      <c r="MYY152" s="224"/>
      <c r="MYZ152" s="223"/>
      <c r="MZA152" s="223"/>
      <c r="MZB152" s="223"/>
      <c r="MZC152" s="223"/>
      <c r="MZD152" s="225"/>
      <c r="MZE152" s="220"/>
      <c r="MZF152" s="221"/>
      <c r="MZG152" s="222"/>
      <c r="MZH152" s="222"/>
      <c r="MZI152" s="223"/>
      <c r="MZJ152" s="223"/>
      <c r="MZK152" s="224"/>
      <c r="MZL152" s="223"/>
      <c r="MZM152" s="223"/>
      <c r="MZN152" s="223"/>
      <c r="MZO152" s="223"/>
      <c r="MZP152" s="225"/>
      <c r="MZQ152" s="220"/>
      <c r="MZR152" s="221"/>
      <c r="MZS152" s="222"/>
      <c r="MZT152" s="222"/>
      <c r="MZU152" s="223"/>
      <c r="MZV152" s="223"/>
      <c r="MZW152" s="224"/>
      <c r="MZX152" s="223"/>
      <c r="MZY152" s="223"/>
      <c r="MZZ152" s="223"/>
      <c r="NAA152" s="223"/>
      <c r="NAB152" s="225"/>
      <c r="NAC152" s="220"/>
      <c r="NAD152" s="221"/>
      <c r="NAE152" s="222"/>
      <c r="NAF152" s="222"/>
      <c r="NAG152" s="223"/>
      <c r="NAH152" s="223"/>
      <c r="NAI152" s="224"/>
      <c r="NAJ152" s="223"/>
      <c r="NAK152" s="223"/>
      <c r="NAL152" s="223"/>
      <c r="NAM152" s="223"/>
      <c r="NAN152" s="225"/>
      <c r="NAO152" s="220"/>
      <c r="NAP152" s="221"/>
      <c r="NAQ152" s="222"/>
      <c r="NAR152" s="222"/>
      <c r="NAS152" s="223"/>
      <c r="NAT152" s="223"/>
      <c r="NAU152" s="224"/>
      <c r="NAV152" s="223"/>
      <c r="NAW152" s="223"/>
      <c r="NAX152" s="223"/>
      <c r="NAY152" s="223"/>
      <c r="NAZ152" s="225"/>
      <c r="NBA152" s="220"/>
      <c r="NBB152" s="221"/>
      <c r="NBC152" s="222"/>
      <c r="NBD152" s="222"/>
      <c r="NBE152" s="223"/>
      <c r="NBF152" s="223"/>
      <c r="NBG152" s="224"/>
      <c r="NBH152" s="223"/>
      <c r="NBI152" s="223"/>
      <c r="NBJ152" s="223"/>
      <c r="NBK152" s="223"/>
      <c r="NBL152" s="225"/>
      <c r="NBM152" s="220"/>
      <c r="NBN152" s="221"/>
      <c r="NBO152" s="222"/>
      <c r="NBP152" s="222"/>
      <c r="NBQ152" s="223"/>
      <c r="NBR152" s="223"/>
      <c r="NBS152" s="224"/>
      <c r="NBT152" s="223"/>
      <c r="NBU152" s="223"/>
      <c r="NBV152" s="223"/>
      <c r="NBW152" s="223"/>
      <c r="NBX152" s="225"/>
      <c r="NBY152" s="220"/>
      <c r="NBZ152" s="221"/>
      <c r="NCA152" s="222"/>
      <c r="NCB152" s="222"/>
      <c r="NCC152" s="223"/>
      <c r="NCD152" s="223"/>
      <c r="NCE152" s="224"/>
      <c r="NCF152" s="223"/>
      <c r="NCG152" s="223"/>
      <c r="NCH152" s="223"/>
      <c r="NCI152" s="223"/>
      <c r="NCJ152" s="225"/>
      <c r="NCK152" s="220"/>
      <c r="NCL152" s="221"/>
      <c r="NCM152" s="222"/>
      <c r="NCN152" s="222"/>
      <c r="NCO152" s="223"/>
      <c r="NCP152" s="223"/>
      <c r="NCQ152" s="224"/>
      <c r="NCR152" s="223"/>
      <c r="NCS152" s="223"/>
      <c r="NCT152" s="223"/>
      <c r="NCU152" s="223"/>
      <c r="NCV152" s="225"/>
      <c r="NCW152" s="220"/>
      <c r="NCX152" s="221"/>
      <c r="NCY152" s="222"/>
      <c r="NCZ152" s="222"/>
      <c r="NDA152" s="223"/>
      <c r="NDB152" s="223"/>
      <c r="NDC152" s="224"/>
      <c r="NDD152" s="223"/>
      <c r="NDE152" s="223"/>
      <c r="NDF152" s="223"/>
      <c r="NDG152" s="223"/>
      <c r="NDH152" s="225"/>
      <c r="NDI152" s="220"/>
      <c r="NDJ152" s="221"/>
      <c r="NDK152" s="222"/>
      <c r="NDL152" s="222"/>
      <c r="NDM152" s="223"/>
      <c r="NDN152" s="223"/>
      <c r="NDO152" s="224"/>
      <c r="NDP152" s="223"/>
      <c r="NDQ152" s="223"/>
      <c r="NDR152" s="223"/>
      <c r="NDS152" s="223"/>
      <c r="NDT152" s="225"/>
      <c r="NDU152" s="220"/>
      <c r="NDV152" s="221"/>
      <c r="NDW152" s="222"/>
      <c r="NDX152" s="222"/>
      <c r="NDY152" s="223"/>
      <c r="NDZ152" s="223"/>
      <c r="NEA152" s="224"/>
      <c r="NEB152" s="223"/>
      <c r="NEC152" s="223"/>
      <c r="NED152" s="223"/>
      <c r="NEE152" s="223"/>
      <c r="NEF152" s="225"/>
      <c r="NEG152" s="220"/>
      <c r="NEH152" s="221"/>
      <c r="NEI152" s="222"/>
      <c r="NEJ152" s="222"/>
      <c r="NEK152" s="223"/>
      <c r="NEL152" s="223"/>
      <c r="NEM152" s="224"/>
      <c r="NEN152" s="223"/>
      <c r="NEO152" s="223"/>
      <c r="NEP152" s="223"/>
      <c r="NEQ152" s="223"/>
      <c r="NER152" s="225"/>
      <c r="NES152" s="220"/>
      <c r="NET152" s="221"/>
      <c r="NEU152" s="222"/>
      <c r="NEV152" s="222"/>
      <c r="NEW152" s="223"/>
      <c r="NEX152" s="223"/>
      <c r="NEY152" s="224"/>
      <c r="NEZ152" s="223"/>
      <c r="NFA152" s="223"/>
      <c r="NFB152" s="223"/>
      <c r="NFC152" s="223"/>
      <c r="NFD152" s="225"/>
      <c r="NFE152" s="220"/>
      <c r="NFF152" s="221"/>
      <c r="NFG152" s="222"/>
      <c r="NFH152" s="222"/>
      <c r="NFI152" s="223"/>
      <c r="NFJ152" s="223"/>
      <c r="NFK152" s="224"/>
      <c r="NFL152" s="223"/>
      <c r="NFM152" s="223"/>
      <c r="NFN152" s="223"/>
      <c r="NFO152" s="223"/>
      <c r="NFP152" s="225"/>
      <c r="NFQ152" s="220"/>
      <c r="NFR152" s="221"/>
      <c r="NFS152" s="222"/>
      <c r="NFT152" s="222"/>
      <c r="NFU152" s="223"/>
      <c r="NFV152" s="223"/>
      <c r="NFW152" s="224"/>
      <c r="NFX152" s="223"/>
      <c r="NFY152" s="223"/>
      <c r="NFZ152" s="223"/>
      <c r="NGA152" s="223"/>
      <c r="NGB152" s="225"/>
      <c r="NGC152" s="220"/>
      <c r="NGD152" s="221"/>
      <c r="NGE152" s="222"/>
      <c r="NGF152" s="222"/>
      <c r="NGG152" s="223"/>
      <c r="NGH152" s="223"/>
      <c r="NGI152" s="224"/>
      <c r="NGJ152" s="223"/>
      <c r="NGK152" s="223"/>
      <c r="NGL152" s="223"/>
      <c r="NGM152" s="223"/>
      <c r="NGN152" s="225"/>
      <c r="NGO152" s="220"/>
      <c r="NGP152" s="221"/>
      <c r="NGQ152" s="222"/>
      <c r="NGR152" s="222"/>
      <c r="NGS152" s="223"/>
      <c r="NGT152" s="223"/>
      <c r="NGU152" s="224"/>
      <c r="NGV152" s="223"/>
      <c r="NGW152" s="223"/>
      <c r="NGX152" s="223"/>
      <c r="NGY152" s="223"/>
      <c r="NGZ152" s="225"/>
      <c r="NHA152" s="220"/>
      <c r="NHB152" s="221"/>
      <c r="NHC152" s="222"/>
      <c r="NHD152" s="222"/>
      <c r="NHE152" s="223"/>
      <c r="NHF152" s="223"/>
      <c r="NHG152" s="224"/>
      <c r="NHH152" s="223"/>
      <c r="NHI152" s="223"/>
      <c r="NHJ152" s="223"/>
      <c r="NHK152" s="223"/>
      <c r="NHL152" s="225"/>
      <c r="NHM152" s="220"/>
      <c r="NHN152" s="221"/>
      <c r="NHO152" s="222"/>
      <c r="NHP152" s="222"/>
      <c r="NHQ152" s="223"/>
      <c r="NHR152" s="223"/>
      <c r="NHS152" s="224"/>
      <c r="NHT152" s="223"/>
      <c r="NHU152" s="223"/>
      <c r="NHV152" s="223"/>
      <c r="NHW152" s="223"/>
      <c r="NHX152" s="225"/>
      <c r="NHY152" s="220"/>
      <c r="NHZ152" s="221"/>
      <c r="NIA152" s="222"/>
      <c r="NIB152" s="222"/>
      <c r="NIC152" s="223"/>
      <c r="NID152" s="223"/>
      <c r="NIE152" s="224"/>
      <c r="NIF152" s="223"/>
      <c r="NIG152" s="223"/>
      <c r="NIH152" s="223"/>
      <c r="NII152" s="223"/>
      <c r="NIJ152" s="225"/>
      <c r="NIK152" s="220"/>
      <c r="NIL152" s="221"/>
      <c r="NIM152" s="222"/>
      <c r="NIN152" s="222"/>
      <c r="NIO152" s="223"/>
      <c r="NIP152" s="223"/>
      <c r="NIQ152" s="224"/>
      <c r="NIR152" s="223"/>
      <c r="NIS152" s="223"/>
      <c r="NIT152" s="223"/>
      <c r="NIU152" s="223"/>
      <c r="NIV152" s="225"/>
      <c r="NIW152" s="220"/>
      <c r="NIX152" s="221"/>
      <c r="NIY152" s="222"/>
      <c r="NIZ152" s="222"/>
      <c r="NJA152" s="223"/>
      <c r="NJB152" s="223"/>
      <c r="NJC152" s="224"/>
      <c r="NJD152" s="223"/>
      <c r="NJE152" s="223"/>
      <c r="NJF152" s="223"/>
      <c r="NJG152" s="223"/>
      <c r="NJH152" s="225"/>
      <c r="NJI152" s="220"/>
      <c r="NJJ152" s="221"/>
      <c r="NJK152" s="222"/>
      <c r="NJL152" s="222"/>
      <c r="NJM152" s="223"/>
      <c r="NJN152" s="223"/>
      <c r="NJO152" s="224"/>
      <c r="NJP152" s="223"/>
      <c r="NJQ152" s="223"/>
      <c r="NJR152" s="223"/>
      <c r="NJS152" s="223"/>
      <c r="NJT152" s="225"/>
      <c r="NJU152" s="220"/>
      <c r="NJV152" s="221"/>
      <c r="NJW152" s="222"/>
      <c r="NJX152" s="222"/>
      <c r="NJY152" s="223"/>
      <c r="NJZ152" s="223"/>
      <c r="NKA152" s="224"/>
      <c r="NKB152" s="223"/>
      <c r="NKC152" s="223"/>
      <c r="NKD152" s="223"/>
      <c r="NKE152" s="223"/>
      <c r="NKF152" s="225"/>
      <c r="NKG152" s="220"/>
      <c r="NKH152" s="221"/>
      <c r="NKI152" s="222"/>
      <c r="NKJ152" s="222"/>
      <c r="NKK152" s="223"/>
      <c r="NKL152" s="223"/>
      <c r="NKM152" s="224"/>
      <c r="NKN152" s="223"/>
      <c r="NKO152" s="223"/>
      <c r="NKP152" s="223"/>
      <c r="NKQ152" s="223"/>
      <c r="NKR152" s="225"/>
      <c r="NKS152" s="220"/>
      <c r="NKT152" s="221"/>
      <c r="NKU152" s="222"/>
      <c r="NKV152" s="222"/>
      <c r="NKW152" s="223"/>
      <c r="NKX152" s="223"/>
      <c r="NKY152" s="224"/>
      <c r="NKZ152" s="223"/>
      <c r="NLA152" s="223"/>
      <c r="NLB152" s="223"/>
      <c r="NLC152" s="223"/>
      <c r="NLD152" s="225"/>
      <c r="NLE152" s="220"/>
      <c r="NLF152" s="221"/>
      <c r="NLG152" s="222"/>
      <c r="NLH152" s="222"/>
      <c r="NLI152" s="223"/>
      <c r="NLJ152" s="223"/>
      <c r="NLK152" s="224"/>
      <c r="NLL152" s="223"/>
      <c r="NLM152" s="223"/>
      <c r="NLN152" s="223"/>
      <c r="NLO152" s="223"/>
      <c r="NLP152" s="225"/>
      <c r="NLQ152" s="220"/>
      <c r="NLR152" s="221"/>
      <c r="NLS152" s="222"/>
      <c r="NLT152" s="222"/>
      <c r="NLU152" s="223"/>
      <c r="NLV152" s="223"/>
      <c r="NLW152" s="224"/>
      <c r="NLX152" s="223"/>
      <c r="NLY152" s="223"/>
      <c r="NLZ152" s="223"/>
      <c r="NMA152" s="223"/>
      <c r="NMB152" s="225"/>
      <c r="NMC152" s="220"/>
      <c r="NMD152" s="221"/>
      <c r="NME152" s="222"/>
      <c r="NMF152" s="222"/>
      <c r="NMG152" s="223"/>
      <c r="NMH152" s="223"/>
      <c r="NMI152" s="224"/>
      <c r="NMJ152" s="223"/>
      <c r="NMK152" s="223"/>
      <c r="NML152" s="223"/>
      <c r="NMM152" s="223"/>
      <c r="NMN152" s="225"/>
      <c r="NMO152" s="220"/>
      <c r="NMP152" s="221"/>
      <c r="NMQ152" s="222"/>
      <c r="NMR152" s="222"/>
      <c r="NMS152" s="223"/>
      <c r="NMT152" s="223"/>
      <c r="NMU152" s="224"/>
      <c r="NMV152" s="223"/>
      <c r="NMW152" s="223"/>
      <c r="NMX152" s="223"/>
      <c r="NMY152" s="223"/>
      <c r="NMZ152" s="225"/>
      <c r="NNA152" s="220"/>
      <c r="NNB152" s="221"/>
      <c r="NNC152" s="222"/>
      <c r="NND152" s="222"/>
      <c r="NNE152" s="223"/>
      <c r="NNF152" s="223"/>
      <c r="NNG152" s="224"/>
      <c r="NNH152" s="223"/>
      <c r="NNI152" s="223"/>
      <c r="NNJ152" s="223"/>
      <c r="NNK152" s="223"/>
      <c r="NNL152" s="225"/>
      <c r="NNM152" s="220"/>
      <c r="NNN152" s="221"/>
      <c r="NNO152" s="222"/>
      <c r="NNP152" s="222"/>
      <c r="NNQ152" s="223"/>
      <c r="NNR152" s="223"/>
      <c r="NNS152" s="224"/>
      <c r="NNT152" s="223"/>
      <c r="NNU152" s="223"/>
      <c r="NNV152" s="223"/>
      <c r="NNW152" s="223"/>
      <c r="NNX152" s="225"/>
      <c r="NNY152" s="220"/>
      <c r="NNZ152" s="221"/>
      <c r="NOA152" s="222"/>
      <c r="NOB152" s="222"/>
      <c r="NOC152" s="223"/>
      <c r="NOD152" s="223"/>
      <c r="NOE152" s="224"/>
      <c r="NOF152" s="223"/>
      <c r="NOG152" s="223"/>
      <c r="NOH152" s="223"/>
      <c r="NOI152" s="223"/>
      <c r="NOJ152" s="225"/>
      <c r="NOK152" s="220"/>
      <c r="NOL152" s="221"/>
      <c r="NOM152" s="222"/>
      <c r="NON152" s="222"/>
      <c r="NOO152" s="223"/>
      <c r="NOP152" s="223"/>
      <c r="NOQ152" s="224"/>
      <c r="NOR152" s="223"/>
      <c r="NOS152" s="223"/>
      <c r="NOT152" s="223"/>
      <c r="NOU152" s="223"/>
      <c r="NOV152" s="225"/>
      <c r="NOW152" s="220"/>
      <c r="NOX152" s="221"/>
      <c r="NOY152" s="222"/>
      <c r="NOZ152" s="222"/>
      <c r="NPA152" s="223"/>
      <c r="NPB152" s="223"/>
      <c r="NPC152" s="224"/>
      <c r="NPD152" s="223"/>
      <c r="NPE152" s="223"/>
      <c r="NPF152" s="223"/>
      <c r="NPG152" s="223"/>
      <c r="NPH152" s="225"/>
      <c r="NPI152" s="220"/>
      <c r="NPJ152" s="221"/>
      <c r="NPK152" s="222"/>
      <c r="NPL152" s="222"/>
      <c r="NPM152" s="223"/>
      <c r="NPN152" s="223"/>
      <c r="NPO152" s="224"/>
      <c r="NPP152" s="223"/>
      <c r="NPQ152" s="223"/>
      <c r="NPR152" s="223"/>
      <c r="NPS152" s="223"/>
      <c r="NPT152" s="225"/>
      <c r="NPU152" s="220"/>
      <c r="NPV152" s="221"/>
      <c r="NPW152" s="222"/>
      <c r="NPX152" s="222"/>
      <c r="NPY152" s="223"/>
      <c r="NPZ152" s="223"/>
      <c r="NQA152" s="224"/>
      <c r="NQB152" s="223"/>
      <c r="NQC152" s="223"/>
      <c r="NQD152" s="223"/>
      <c r="NQE152" s="223"/>
      <c r="NQF152" s="225"/>
      <c r="NQG152" s="220"/>
      <c r="NQH152" s="221"/>
      <c r="NQI152" s="222"/>
      <c r="NQJ152" s="222"/>
      <c r="NQK152" s="223"/>
      <c r="NQL152" s="223"/>
      <c r="NQM152" s="224"/>
      <c r="NQN152" s="223"/>
      <c r="NQO152" s="223"/>
      <c r="NQP152" s="223"/>
      <c r="NQQ152" s="223"/>
      <c r="NQR152" s="225"/>
      <c r="NQS152" s="220"/>
      <c r="NQT152" s="221"/>
      <c r="NQU152" s="222"/>
      <c r="NQV152" s="222"/>
      <c r="NQW152" s="223"/>
      <c r="NQX152" s="223"/>
      <c r="NQY152" s="224"/>
      <c r="NQZ152" s="223"/>
      <c r="NRA152" s="223"/>
      <c r="NRB152" s="223"/>
      <c r="NRC152" s="223"/>
      <c r="NRD152" s="225"/>
      <c r="NRE152" s="220"/>
      <c r="NRF152" s="221"/>
      <c r="NRG152" s="222"/>
      <c r="NRH152" s="222"/>
      <c r="NRI152" s="223"/>
      <c r="NRJ152" s="223"/>
      <c r="NRK152" s="224"/>
      <c r="NRL152" s="223"/>
      <c r="NRM152" s="223"/>
      <c r="NRN152" s="223"/>
      <c r="NRO152" s="223"/>
      <c r="NRP152" s="225"/>
      <c r="NRQ152" s="220"/>
      <c r="NRR152" s="221"/>
      <c r="NRS152" s="222"/>
      <c r="NRT152" s="222"/>
      <c r="NRU152" s="223"/>
      <c r="NRV152" s="223"/>
      <c r="NRW152" s="224"/>
      <c r="NRX152" s="223"/>
      <c r="NRY152" s="223"/>
      <c r="NRZ152" s="223"/>
      <c r="NSA152" s="223"/>
      <c r="NSB152" s="225"/>
      <c r="NSC152" s="220"/>
      <c r="NSD152" s="221"/>
      <c r="NSE152" s="222"/>
      <c r="NSF152" s="222"/>
      <c r="NSG152" s="223"/>
      <c r="NSH152" s="223"/>
      <c r="NSI152" s="224"/>
      <c r="NSJ152" s="223"/>
      <c r="NSK152" s="223"/>
      <c r="NSL152" s="223"/>
      <c r="NSM152" s="223"/>
      <c r="NSN152" s="225"/>
      <c r="NSO152" s="220"/>
      <c r="NSP152" s="221"/>
      <c r="NSQ152" s="222"/>
      <c r="NSR152" s="222"/>
      <c r="NSS152" s="223"/>
      <c r="NST152" s="223"/>
      <c r="NSU152" s="224"/>
      <c r="NSV152" s="223"/>
      <c r="NSW152" s="223"/>
      <c r="NSX152" s="223"/>
      <c r="NSY152" s="223"/>
      <c r="NSZ152" s="225"/>
      <c r="NTA152" s="220"/>
      <c r="NTB152" s="221"/>
      <c r="NTC152" s="222"/>
      <c r="NTD152" s="222"/>
      <c r="NTE152" s="223"/>
      <c r="NTF152" s="223"/>
      <c r="NTG152" s="224"/>
      <c r="NTH152" s="223"/>
      <c r="NTI152" s="223"/>
      <c r="NTJ152" s="223"/>
      <c r="NTK152" s="223"/>
      <c r="NTL152" s="225"/>
      <c r="NTM152" s="220"/>
      <c r="NTN152" s="221"/>
      <c r="NTO152" s="222"/>
      <c r="NTP152" s="222"/>
      <c r="NTQ152" s="223"/>
      <c r="NTR152" s="223"/>
      <c r="NTS152" s="224"/>
      <c r="NTT152" s="223"/>
      <c r="NTU152" s="223"/>
      <c r="NTV152" s="223"/>
      <c r="NTW152" s="223"/>
      <c r="NTX152" s="225"/>
      <c r="NTY152" s="220"/>
      <c r="NTZ152" s="221"/>
      <c r="NUA152" s="222"/>
      <c r="NUB152" s="222"/>
      <c r="NUC152" s="223"/>
      <c r="NUD152" s="223"/>
      <c r="NUE152" s="224"/>
      <c r="NUF152" s="223"/>
      <c r="NUG152" s="223"/>
      <c r="NUH152" s="223"/>
      <c r="NUI152" s="223"/>
      <c r="NUJ152" s="225"/>
      <c r="NUK152" s="220"/>
      <c r="NUL152" s="221"/>
      <c r="NUM152" s="222"/>
      <c r="NUN152" s="222"/>
      <c r="NUO152" s="223"/>
      <c r="NUP152" s="223"/>
      <c r="NUQ152" s="224"/>
      <c r="NUR152" s="223"/>
      <c r="NUS152" s="223"/>
      <c r="NUT152" s="223"/>
      <c r="NUU152" s="223"/>
      <c r="NUV152" s="225"/>
      <c r="NUW152" s="220"/>
      <c r="NUX152" s="221"/>
      <c r="NUY152" s="222"/>
      <c r="NUZ152" s="222"/>
      <c r="NVA152" s="223"/>
      <c r="NVB152" s="223"/>
      <c r="NVC152" s="224"/>
      <c r="NVD152" s="223"/>
      <c r="NVE152" s="223"/>
      <c r="NVF152" s="223"/>
      <c r="NVG152" s="223"/>
      <c r="NVH152" s="225"/>
      <c r="NVI152" s="220"/>
      <c r="NVJ152" s="221"/>
      <c r="NVK152" s="222"/>
      <c r="NVL152" s="222"/>
      <c r="NVM152" s="223"/>
      <c r="NVN152" s="223"/>
      <c r="NVO152" s="224"/>
      <c r="NVP152" s="223"/>
      <c r="NVQ152" s="223"/>
      <c r="NVR152" s="223"/>
      <c r="NVS152" s="223"/>
      <c r="NVT152" s="225"/>
      <c r="NVU152" s="220"/>
      <c r="NVV152" s="221"/>
      <c r="NVW152" s="222"/>
      <c r="NVX152" s="222"/>
      <c r="NVY152" s="223"/>
      <c r="NVZ152" s="223"/>
      <c r="NWA152" s="224"/>
      <c r="NWB152" s="223"/>
      <c r="NWC152" s="223"/>
      <c r="NWD152" s="223"/>
      <c r="NWE152" s="223"/>
      <c r="NWF152" s="225"/>
      <c r="NWG152" s="220"/>
      <c r="NWH152" s="221"/>
      <c r="NWI152" s="222"/>
      <c r="NWJ152" s="222"/>
      <c r="NWK152" s="223"/>
      <c r="NWL152" s="223"/>
      <c r="NWM152" s="224"/>
      <c r="NWN152" s="223"/>
      <c r="NWO152" s="223"/>
      <c r="NWP152" s="223"/>
      <c r="NWQ152" s="223"/>
      <c r="NWR152" s="225"/>
      <c r="NWS152" s="220"/>
      <c r="NWT152" s="221"/>
      <c r="NWU152" s="222"/>
      <c r="NWV152" s="222"/>
      <c r="NWW152" s="223"/>
      <c r="NWX152" s="223"/>
      <c r="NWY152" s="224"/>
      <c r="NWZ152" s="223"/>
      <c r="NXA152" s="223"/>
      <c r="NXB152" s="223"/>
      <c r="NXC152" s="223"/>
      <c r="NXD152" s="225"/>
      <c r="NXE152" s="220"/>
      <c r="NXF152" s="221"/>
      <c r="NXG152" s="222"/>
      <c r="NXH152" s="222"/>
      <c r="NXI152" s="223"/>
      <c r="NXJ152" s="223"/>
      <c r="NXK152" s="224"/>
      <c r="NXL152" s="223"/>
      <c r="NXM152" s="223"/>
      <c r="NXN152" s="223"/>
      <c r="NXO152" s="223"/>
      <c r="NXP152" s="225"/>
      <c r="NXQ152" s="220"/>
      <c r="NXR152" s="221"/>
      <c r="NXS152" s="222"/>
      <c r="NXT152" s="222"/>
      <c r="NXU152" s="223"/>
      <c r="NXV152" s="223"/>
      <c r="NXW152" s="224"/>
      <c r="NXX152" s="223"/>
      <c r="NXY152" s="223"/>
      <c r="NXZ152" s="223"/>
      <c r="NYA152" s="223"/>
      <c r="NYB152" s="225"/>
      <c r="NYC152" s="220"/>
      <c r="NYD152" s="221"/>
      <c r="NYE152" s="222"/>
      <c r="NYF152" s="222"/>
      <c r="NYG152" s="223"/>
      <c r="NYH152" s="223"/>
      <c r="NYI152" s="224"/>
      <c r="NYJ152" s="223"/>
      <c r="NYK152" s="223"/>
      <c r="NYL152" s="223"/>
      <c r="NYM152" s="223"/>
      <c r="NYN152" s="225"/>
      <c r="NYO152" s="220"/>
      <c r="NYP152" s="221"/>
      <c r="NYQ152" s="222"/>
      <c r="NYR152" s="222"/>
      <c r="NYS152" s="223"/>
      <c r="NYT152" s="223"/>
      <c r="NYU152" s="224"/>
      <c r="NYV152" s="223"/>
      <c r="NYW152" s="223"/>
      <c r="NYX152" s="223"/>
      <c r="NYY152" s="223"/>
      <c r="NYZ152" s="225"/>
      <c r="NZA152" s="220"/>
      <c r="NZB152" s="221"/>
      <c r="NZC152" s="222"/>
      <c r="NZD152" s="222"/>
      <c r="NZE152" s="223"/>
      <c r="NZF152" s="223"/>
      <c r="NZG152" s="224"/>
      <c r="NZH152" s="223"/>
      <c r="NZI152" s="223"/>
      <c r="NZJ152" s="223"/>
      <c r="NZK152" s="223"/>
      <c r="NZL152" s="225"/>
      <c r="NZM152" s="220"/>
      <c r="NZN152" s="221"/>
      <c r="NZO152" s="222"/>
      <c r="NZP152" s="222"/>
      <c r="NZQ152" s="223"/>
      <c r="NZR152" s="223"/>
      <c r="NZS152" s="224"/>
      <c r="NZT152" s="223"/>
      <c r="NZU152" s="223"/>
      <c r="NZV152" s="223"/>
      <c r="NZW152" s="223"/>
      <c r="NZX152" s="225"/>
      <c r="NZY152" s="220"/>
      <c r="NZZ152" s="221"/>
      <c r="OAA152" s="222"/>
      <c r="OAB152" s="222"/>
      <c r="OAC152" s="223"/>
      <c r="OAD152" s="223"/>
      <c r="OAE152" s="224"/>
      <c r="OAF152" s="223"/>
      <c r="OAG152" s="223"/>
      <c r="OAH152" s="223"/>
      <c r="OAI152" s="223"/>
      <c r="OAJ152" s="225"/>
      <c r="OAK152" s="220"/>
      <c r="OAL152" s="221"/>
      <c r="OAM152" s="222"/>
      <c r="OAN152" s="222"/>
      <c r="OAO152" s="223"/>
      <c r="OAP152" s="223"/>
      <c r="OAQ152" s="224"/>
      <c r="OAR152" s="223"/>
      <c r="OAS152" s="223"/>
      <c r="OAT152" s="223"/>
      <c r="OAU152" s="223"/>
      <c r="OAV152" s="225"/>
      <c r="OAW152" s="220"/>
      <c r="OAX152" s="221"/>
      <c r="OAY152" s="222"/>
      <c r="OAZ152" s="222"/>
      <c r="OBA152" s="223"/>
      <c r="OBB152" s="223"/>
      <c r="OBC152" s="224"/>
      <c r="OBD152" s="223"/>
      <c r="OBE152" s="223"/>
      <c r="OBF152" s="223"/>
      <c r="OBG152" s="223"/>
      <c r="OBH152" s="225"/>
      <c r="OBI152" s="220"/>
      <c r="OBJ152" s="221"/>
      <c r="OBK152" s="222"/>
      <c r="OBL152" s="222"/>
      <c r="OBM152" s="223"/>
      <c r="OBN152" s="223"/>
      <c r="OBO152" s="224"/>
      <c r="OBP152" s="223"/>
      <c r="OBQ152" s="223"/>
      <c r="OBR152" s="223"/>
      <c r="OBS152" s="223"/>
      <c r="OBT152" s="225"/>
      <c r="OBU152" s="220"/>
      <c r="OBV152" s="221"/>
      <c r="OBW152" s="222"/>
      <c r="OBX152" s="222"/>
      <c r="OBY152" s="223"/>
      <c r="OBZ152" s="223"/>
      <c r="OCA152" s="224"/>
      <c r="OCB152" s="223"/>
      <c r="OCC152" s="223"/>
      <c r="OCD152" s="223"/>
      <c r="OCE152" s="223"/>
      <c r="OCF152" s="225"/>
      <c r="OCG152" s="220"/>
      <c r="OCH152" s="221"/>
      <c r="OCI152" s="222"/>
      <c r="OCJ152" s="222"/>
      <c r="OCK152" s="223"/>
      <c r="OCL152" s="223"/>
      <c r="OCM152" s="224"/>
      <c r="OCN152" s="223"/>
      <c r="OCO152" s="223"/>
      <c r="OCP152" s="223"/>
      <c r="OCQ152" s="223"/>
      <c r="OCR152" s="225"/>
      <c r="OCS152" s="220"/>
      <c r="OCT152" s="221"/>
      <c r="OCU152" s="222"/>
      <c r="OCV152" s="222"/>
      <c r="OCW152" s="223"/>
      <c r="OCX152" s="223"/>
      <c r="OCY152" s="224"/>
      <c r="OCZ152" s="223"/>
      <c r="ODA152" s="223"/>
      <c r="ODB152" s="223"/>
      <c r="ODC152" s="223"/>
      <c r="ODD152" s="225"/>
      <c r="ODE152" s="220"/>
      <c r="ODF152" s="221"/>
      <c r="ODG152" s="222"/>
      <c r="ODH152" s="222"/>
      <c r="ODI152" s="223"/>
      <c r="ODJ152" s="223"/>
      <c r="ODK152" s="224"/>
      <c r="ODL152" s="223"/>
      <c r="ODM152" s="223"/>
      <c r="ODN152" s="223"/>
      <c r="ODO152" s="223"/>
      <c r="ODP152" s="225"/>
      <c r="ODQ152" s="220"/>
      <c r="ODR152" s="221"/>
      <c r="ODS152" s="222"/>
      <c r="ODT152" s="222"/>
      <c r="ODU152" s="223"/>
      <c r="ODV152" s="223"/>
      <c r="ODW152" s="224"/>
      <c r="ODX152" s="223"/>
      <c r="ODY152" s="223"/>
      <c r="ODZ152" s="223"/>
      <c r="OEA152" s="223"/>
      <c r="OEB152" s="225"/>
      <c r="OEC152" s="220"/>
      <c r="OED152" s="221"/>
      <c r="OEE152" s="222"/>
      <c r="OEF152" s="222"/>
      <c r="OEG152" s="223"/>
      <c r="OEH152" s="223"/>
      <c r="OEI152" s="224"/>
      <c r="OEJ152" s="223"/>
      <c r="OEK152" s="223"/>
      <c r="OEL152" s="223"/>
      <c r="OEM152" s="223"/>
      <c r="OEN152" s="225"/>
      <c r="OEO152" s="220"/>
      <c r="OEP152" s="221"/>
      <c r="OEQ152" s="222"/>
      <c r="OER152" s="222"/>
      <c r="OES152" s="223"/>
      <c r="OET152" s="223"/>
      <c r="OEU152" s="224"/>
      <c r="OEV152" s="223"/>
      <c r="OEW152" s="223"/>
      <c r="OEX152" s="223"/>
      <c r="OEY152" s="223"/>
      <c r="OEZ152" s="225"/>
      <c r="OFA152" s="220"/>
      <c r="OFB152" s="221"/>
      <c r="OFC152" s="222"/>
      <c r="OFD152" s="222"/>
      <c r="OFE152" s="223"/>
      <c r="OFF152" s="223"/>
      <c r="OFG152" s="224"/>
      <c r="OFH152" s="223"/>
      <c r="OFI152" s="223"/>
      <c r="OFJ152" s="223"/>
      <c r="OFK152" s="223"/>
      <c r="OFL152" s="225"/>
      <c r="OFM152" s="220"/>
      <c r="OFN152" s="221"/>
      <c r="OFO152" s="222"/>
      <c r="OFP152" s="222"/>
      <c r="OFQ152" s="223"/>
      <c r="OFR152" s="223"/>
      <c r="OFS152" s="224"/>
      <c r="OFT152" s="223"/>
      <c r="OFU152" s="223"/>
      <c r="OFV152" s="223"/>
      <c r="OFW152" s="223"/>
      <c r="OFX152" s="225"/>
      <c r="OFY152" s="220"/>
      <c r="OFZ152" s="221"/>
      <c r="OGA152" s="222"/>
      <c r="OGB152" s="222"/>
      <c r="OGC152" s="223"/>
      <c r="OGD152" s="223"/>
      <c r="OGE152" s="224"/>
      <c r="OGF152" s="223"/>
      <c r="OGG152" s="223"/>
      <c r="OGH152" s="223"/>
      <c r="OGI152" s="223"/>
      <c r="OGJ152" s="225"/>
      <c r="OGK152" s="220"/>
      <c r="OGL152" s="221"/>
      <c r="OGM152" s="222"/>
      <c r="OGN152" s="222"/>
      <c r="OGO152" s="223"/>
      <c r="OGP152" s="223"/>
      <c r="OGQ152" s="224"/>
      <c r="OGR152" s="223"/>
      <c r="OGS152" s="223"/>
      <c r="OGT152" s="223"/>
      <c r="OGU152" s="223"/>
      <c r="OGV152" s="225"/>
      <c r="OGW152" s="220"/>
      <c r="OGX152" s="221"/>
      <c r="OGY152" s="222"/>
      <c r="OGZ152" s="222"/>
      <c r="OHA152" s="223"/>
      <c r="OHB152" s="223"/>
      <c r="OHC152" s="224"/>
      <c r="OHD152" s="223"/>
      <c r="OHE152" s="223"/>
      <c r="OHF152" s="223"/>
      <c r="OHG152" s="223"/>
      <c r="OHH152" s="225"/>
      <c r="OHI152" s="220"/>
      <c r="OHJ152" s="221"/>
      <c r="OHK152" s="222"/>
      <c r="OHL152" s="222"/>
      <c r="OHM152" s="223"/>
      <c r="OHN152" s="223"/>
      <c r="OHO152" s="224"/>
      <c r="OHP152" s="223"/>
      <c r="OHQ152" s="223"/>
      <c r="OHR152" s="223"/>
      <c r="OHS152" s="223"/>
      <c r="OHT152" s="225"/>
      <c r="OHU152" s="220"/>
      <c r="OHV152" s="221"/>
      <c r="OHW152" s="222"/>
      <c r="OHX152" s="222"/>
      <c r="OHY152" s="223"/>
      <c r="OHZ152" s="223"/>
      <c r="OIA152" s="224"/>
      <c r="OIB152" s="223"/>
      <c r="OIC152" s="223"/>
      <c r="OID152" s="223"/>
      <c r="OIE152" s="223"/>
      <c r="OIF152" s="225"/>
      <c r="OIG152" s="220"/>
      <c r="OIH152" s="221"/>
      <c r="OII152" s="222"/>
      <c r="OIJ152" s="222"/>
      <c r="OIK152" s="223"/>
      <c r="OIL152" s="223"/>
      <c r="OIM152" s="224"/>
      <c r="OIN152" s="223"/>
      <c r="OIO152" s="223"/>
      <c r="OIP152" s="223"/>
      <c r="OIQ152" s="223"/>
      <c r="OIR152" s="225"/>
      <c r="OIS152" s="220"/>
      <c r="OIT152" s="221"/>
      <c r="OIU152" s="222"/>
      <c r="OIV152" s="222"/>
      <c r="OIW152" s="223"/>
      <c r="OIX152" s="223"/>
      <c r="OIY152" s="224"/>
      <c r="OIZ152" s="223"/>
      <c r="OJA152" s="223"/>
      <c r="OJB152" s="223"/>
      <c r="OJC152" s="223"/>
      <c r="OJD152" s="225"/>
      <c r="OJE152" s="220"/>
      <c r="OJF152" s="221"/>
      <c r="OJG152" s="222"/>
      <c r="OJH152" s="222"/>
      <c r="OJI152" s="223"/>
      <c r="OJJ152" s="223"/>
      <c r="OJK152" s="224"/>
      <c r="OJL152" s="223"/>
      <c r="OJM152" s="223"/>
      <c r="OJN152" s="223"/>
      <c r="OJO152" s="223"/>
      <c r="OJP152" s="225"/>
      <c r="OJQ152" s="220"/>
      <c r="OJR152" s="221"/>
      <c r="OJS152" s="222"/>
      <c r="OJT152" s="222"/>
      <c r="OJU152" s="223"/>
      <c r="OJV152" s="223"/>
      <c r="OJW152" s="224"/>
      <c r="OJX152" s="223"/>
      <c r="OJY152" s="223"/>
      <c r="OJZ152" s="223"/>
      <c r="OKA152" s="223"/>
      <c r="OKB152" s="225"/>
      <c r="OKC152" s="220"/>
      <c r="OKD152" s="221"/>
      <c r="OKE152" s="222"/>
      <c r="OKF152" s="222"/>
      <c r="OKG152" s="223"/>
      <c r="OKH152" s="223"/>
      <c r="OKI152" s="224"/>
      <c r="OKJ152" s="223"/>
      <c r="OKK152" s="223"/>
      <c r="OKL152" s="223"/>
      <c r="OKM152" s="223"/>
      <c r="OKN152" s="225"/>
      <c r="OKO152" s="220"/>
      <c r="OKP152" s="221"/>
      <c r="OKQ152" s="222"/>
      <c r="OKR152" s="222"/>
      <c r="OKS152" s="223"/>
      <c r="OKT152" s="223"/>
      <c r="OKU152" s="224"/>
      <c r="OKV152" s="223"/>
      <c r="OKW152" s="223"/>
      <c r="OKX152" s="223"/>
      <c r="OKY152" s="223"/>
      <c r="OKZ152" s="225"/>
      <c r="OLA152" s="220"/>
      <c r="OLB152" s="221"/>
      <c r="OLC152" s="222"/>
      <c r="OLD152" s="222"/>
      <c r="OLE152" s="223"/>
      <c r="OLF152" s="223"/>
      <c r="OLG152" s="224"/>
      <c r="OLH152" s="223"/>
      <c r="OLI152" s="223"/>
      <c r="OLJ152" s="223"/>
      <c r="OLK152" s="223"/>
      <c r="OLL152" s="225"/>
      <c r="OLM152" s="220"/>
      <c r="OLN152" s="221"/>
      <c r="OLO152" s="222"/>
      <c r="OLP152" s="222"/>
      <c r="OLQ152" s="223"/>
      <c r="OLR152" s="223"/>
      <c r="OLS152" s="224"/>
      <c r="OLT152" s="223"/>
      <c r="OLU152" s="223"/>
      <c r="OLV152" s="223"/>
      <c r="OLW152" s="223"/>
      <c r="OLX152" s="225"/>
      <c r="OLY152" s="220"/>
      <c r="OLZ152" s="221"/>
      <c r="OMA152" s="222"/>
      <c r="OMB152" s="222"/>
      <c r="OMC152" s="223"/>
      <c r="OMD152" s="223"/>
      <c r="OME152" s="224"/>
      <c r="OMF152" s="223"/>
      <c r="OMG152" s="223"/>
      <c r="OMH152" s="223"/>
      <c r="OMI152" s="223"/>
      <c r="OMJ152" s="225"/>
      <c r="OMK152" s="220"/>
      <c r="OML152" s="221"/>
      <c r="OMM152" s="222"/>
      <c r="OMN152" s="222"/>
      <c r="OMO152" s="223"/>
      <c r="OMP152" s="223"/>
      <c r="OMQ152" s="224"/>
      <c r="OMR152" s="223"/>
      <c r="OMS152" s="223"/>
      <c r="OMT152" s="223"/>
      <c r="OMU152" s="223"/>
      <c r="OMV152" s="225"/>
      <c r="OMW152" s="220"/>
      <c r="OMX152" s="221"/>
      <c r="OMY152" s="222"/>
      <c r="OMZ152" s="222"/>
      <c r="ONA152" s="223"/>
      <c r="ONB152" s="223"/>
      <c r="ONC152" s="224"/>
      <c r="OND152" s="223"/>
      <c r="ONE152" s="223"/>
      <c r="ONF152" s="223"/>
      <c r="ONG152" s="223"/>
      <c r="ONH152" s="225"/>
      <c r="ONI152" s="220"/>
      <c r="ONJ152" s="221"/>
      <c r="ONK152" s="222"/>
      <c r="ONL152" s="222"/>
      <c r="ONM152" s="223"/>
      <c r="ONN152" s="223"/>
      <c r="ONO152" s="224"/>
      <c r="ONP152" s="223"/>
      <c r="ONQ152" s="223"/>
      <c r="ONR152" s="223"/>
      <c r="ONS152" s="223"/>
      <c r="ONT152" s="225"/>
      <c r="ONU152" s="220"/>
      <c r="ONV152" s="221"/>
      <c r="ONW152" s="222"/>
      <c r="ONX152" s="222"/>
      <c r="ONY152" s="223"/>
      <c r="ONZ152" s="223"/>
      <c r="OOA152" s="224"/>
      <c r="OOB152" s="223"/>
      <c r="OOC152" s="223"/>
      <c r="OOD152" s="223"/>
      <c r="OOE152" s="223"/>
      <c r="OOF152" s="225"/>
      <c r="OOG152" s="220"/>
      <c r="OOH152" s="221"/>
      <c r="OOI152" s="222"/>
      <c r="OOJ152" s="222"/>
      <c r="OOK152" s="223"/>
      <c r="OOL152" s="223"/>
      <c r="OOM152" s="224"/>
      <c r="OON152" s="223"/>
      <c r="OOO152" s="223"/>
      <c r="OOP152" s="223"/>
      <c r="OOQ152" s="223"/>
      <c r="OOR152" s="225"/>
      <c r="OOS152" s="220"/>
      <c r="OOT152" s="221"/>
      <c r="OOU152" s="222"/>
      <c r="OOV152" s="222"/>
      <c r="OOW152" s="223"/>
      <c r="OOX152" s="223"/>
      <c r="OOY152" s="224"/>
      <c r="OOZ152" s="223"/>
      <c r="OPA152" s="223"/>
      <c r="OPB152" s="223"/>
      <c r="OPC152" s="223"/>
      <c r="OPD152" s="225"/>
      <c r="OPE152" s="220"/>
      <c r="OPF152" s="221"/>
      <c r="OPG152" s="222"/>
      <c r="OPH152" s="222"/>
      <c r="OPI152" s="223"/>
      <c r="OPJ152" s="223"/>
      <c r="OPK152" s="224"/>
      <c r="OPL152" s="223"/>
      <c r="OPM152" s="223"/>
      <c r="OPN152" s="223"/>
      <c r="OPO152" s="223"/>
      <c r="OPP152" s="225"/>
      <c r="OPQ152" s="220"/>
      <c r="OPR152" s="221"/>
      <c r="OPS152" s="222"/>
      <c r="OPT152" s="222"/>
      <c r="OPU152" s="223"/>
      <c r="OPV152" s="223"/>
      <c r="OPW152" s="224"/>
      <c r="OPX152" s="223"/>
      <c r="OPY152" s="223"/>
      <c r="OPZ152" s="223"/>
      <c r="OQA152" s="223"/>
      <c r="OQB152" s="225"/>
      <c r="OQC152" s="220"/>
      <c r="OQD152" s="221"/>
      <c r="OQE152" s="222"/>
      <c r="OQF152" s="222"/>
      <c r="OQG152" s="223"/>
      <c r="OQH152" s="223"/>
      <c r="OQI152" s="224"/>
      <c r="OQJ152" s="223"/>
      <c r="OQK152" s="223"/>
      <c r="OQL152" s="223"/>
      <c r="OQM152" s="223"/>
      <c r="OQN152" s="225"/>
      <c r="OQO152" s="220"/>
      <c r="OQP152" s="221"/>
      <c r="OQQ152" s="222"/>
      <c r="OQR152" s="222"/>
      <c r="OQS152" s="223"/>
      <c r="OQT152" s="223"/>
      <c r="OQU152" s="224"/>
      <c r="OQV152" s="223"/>
      <c r="OQW152" s="223"/>
      <c r="OQX152" s="223"/>
      <c r="OQY152" s="223"/>
      <c r="OQZ152" s="225"/>
      <c r="ORA152" s="220"/>
      <c r="ORB152" s="221"/>
      <c r="ORC152" s="222"/>
      <c r="ORD152" s="222"/>
      <c r="ORE152" s="223"/>
      <c r="ORF152" s="223"/>
      <c r="ORG152" s="224"/>
      <c r="ORH152" s="223"/>
      <c r="ORI152" s="223"/>
      <c r="ORJ152" s="223"/>
      <c r="ORK152" s="223"/>
      <c r="ORL152" s="225"/>
      <c r="ORM152" s="220"/>
      <c r="ORN152" s="221"/>
      <c r="ORO152" s="222"/>
      <c r="ORP152" s="222"/>
      <c r="ORQ152" s="223"/>
      <c r="ORR152" s="223"/>
      <c r="ORS152" s="224"/>
      <c r="ORT152" s="223"/>
      <c r="ORU152" s="223"/>
      <c r="ORV152" s="223"/>
      <c r="ORW152" s="223"/>
      <c r="ORX152" s="225"/>
      <c r="ORY152" s="220"/>
      <c r="ORZ152" s="221"/>
      <c r="OSA152" s="222"/>
      <c r="OSB152" s="222"/>
      <c r="OSC152" s="223"/>
      <c r="OSD152" s="223"/>
      <c r="OSE152" s="224"/>
      <c r="OSF152" s="223"/>
      <c r="OSG152" s="223"/>
      <c r="OSH152" s="223"/>
      <c r="OSI152" s="223"/>
      <c r="OSJ152" s="225"/>
      <c r="OSK152" s="220"/>
      <c r="OSL152" s="221"/>
      <c r="OSM152" s="222"/>
      <c r="OSN152" s="222"/>
      <c r="OSO152" s="223"/>
      <c r="OSP152" s="223"/>
      <c r="OSQ152" s="224"/>
      <c r="OSR152" s="223"/>
      <c r="OSS152" s="223"/>
      <c r="OST152" s="223"/>
      <c r="OSU152" s="223"/>
      <c r="OSV152" s="225"/>
      <c r="OSW152" s="220"/>
      <c r="OSX152" s="221"/>
      <c r="OSY152" s="222"/>
      <c r="OSZ152" s="222"/>
      <c r="OTA152" s="223"/>
      <c r="OTB152" s="223"/>
      <c r="OTC152" s="224"/>
      <c r="OTD152" s="223"/>
      <c r="OTE152" s="223"/>
      <c r="OTF152" s="223"/>
      <c r="OTG152" s="223"/>
      <c r="OTH152" s="225"/>
      <c r="OTI152" s="220"/>
      <c r="OTJ152" s="221"/>
      <c r="OTK152" s="222"/>
      <c r="OTL152" s="222"/>
      <c r="OTM152" s="223"/>
      <c r="OTN152" s="223"/>
      <c r="OTO152" s="224"/>
      <c r="OTP152" s="223"/>
      <c r="OTQ152" s="223"/>
      <c r="OTR152" s="223"/>
      <c r="OTS152" s="223"/>
      <c r="OTT152" s="225"/>
      <c r="OTU152" s="220"/>
      <c r="OTV152" s="221"/>
      <c r="OTW152" s="222"/>
      <c r="OTX152" s="222"/>
      <c r="OTY152" s="223"/>
      <c r="OTZ152" s="223"/>
      <c r="OUA152" s="224"/>
      <c r="OUB152" s="223"/>
      <c r="OUC152" s="223"/>
      <c r="OUD152" s="223"/>
      <c r="OUE152" s="223"/>
      <c r="OUF152" s="225"/>
      <c r="OUG152" s="220"/>
      <c r="OUH152" s="221"/>
      <c r="OUI152" s="222"/>
      <c r="OUJ152" s="222"/>
      <c r="OUK152" s="223"/>
      <c r="OUL152" s="223"/>
      <c r="OUM152" s="224"/>
      <c r="OUN152" s="223"/>
      <c r="OUO152" s="223"/>
      <c r="OUP152" s="223"/>
      <c r="OUQ152" s="223"/>
      <c r="OUR152" s="225"/>
      <c r="OUS152" s="220"/>
      <c r="OUT152" s="221"/>
      <c r="OUU152" s="222"/>
      <c r="OUV152" s="222"/>
      <c r="OUW152" s="223"/>
      <c r="OUX152" s="223"/>
      <c r="OUY152" s="224"/>
      <c r="OUZ152" s="223"/>
      <c r="OVA152" s="223"/>
      <c r="OVB152" s="223"/>
      <c r="OVC152" s="223"/>
      <c r="OVD152" s="225"/>
      <c r="OVE152" s="220"/>
      <c r="OVF152" s="221"/>
      <c r="OVG152" s="222"/>
      <c r="OVH152" s="222"/>
      <c r="OVI152" s="223"/>
      <c r="OVJ152" s="223"/>
      <c r="OVK152" s="224"/>
      <c r="OVL152" s="223"/>
      <c r="OVM152" s="223"/>
      <c r="OVN152" s="223"/>
      <c r="OVO152" s="223"/>
      <c r="OVP152" s="225"/>
      <c r="OVQ152" s="220"/>
      <c r="OVR152" s="221"/>
      <c r="OVS152" s="222"/>
      <c r="OVT152" s="222"/>
      <c r="OVU152" s="223"/>
      <c r="OVV152" s="223"/>
      <c r="OVW152" s="224"/>
      <c r="OVX152" s="223"/>
      <c r="OVY152" s="223"/>
      <c r="OVZ152" s="223"/>
      <c r="OWA152" s="223"/>
      <c r="OWB152" s="225"/>
      <c r="OWC152" s="220"/>
      <c r="OWD152" s="221"/>
      <c r="OWE152" s="222"/>
      <c r="OWF152" s="222"/>
      <c r="OWG152" s="223"/>
      <c r="OWH152" s="223"/>
      <c r="OWI152" s="224"/>
      <c r="OWJ152" s="223"/>
      <c r="OWK152" s="223"/>
      <c r="OWL152" s="223"/>
      <c r="OWM152" s="223"/>
      <c r="OWN152" s="225"/>
      <c r="OWO152" s="220"/>
      <c r="OWP152" s="221"/>
      <c r="OWQ152" s="222"/>
      <c r="OWR152" s="222"/>
      <c r="OWS152" s="223"/>
      <c r="OWT152" s="223"/>
      <c r="OWU152" s="224"/>
      <c r="OWV152" s="223"/>
      <c r="OWW152" s="223"/>
      <c r="OWX152" s="223"/>
      <c r="OWY152" s="223"/>
      <c r="OWZ152" s="225"/>
      <c r="OXA152" s="220"/>
      <c r="OXB152" s="221"/>
      <c r="OXC152" s="222"/>
      <c r="OXD152" s="222"/>
      <c r="OXE152" s="223"/>
      <c r="OXF152" s="223"/>
      <c r="OXG152" s="224"/>
      <c r="OXH152" s="223"/>
      <c r="OXI152" s="223"/>
      <c r="OXJ152" s="223"/>
      <c r="OXK152" s="223"/>
      <c r="OXL152" s="225"/>
      <c r="OXM152" s="220"/>
      <c r="OXN152" s="221"/>
      <c r="OXO152" s="222"/>
      <c r="OXP152" s="222"/>
      <c r="OXQ152" s="223"/>
      <c r="OXR152" s="223"/>
      <c r="OXS152" s="224"/>
      <c r="OXT152" s="223"/>
      <c r="OXU152" s="223"/>
      <c r="OXV152" s="223"/>
      <c r="OXW152" s="223"/>
      <c r="OXX152" s="225"/>
      <c r="OXY152" s="220"/>
      <c r="OXZ152" s="221"/>
      <c r="OYA152" s="222"/>
      <c r="OYB152" s="222"/>
      <c r="OYC152" s="223"/>
      <c r="OYD152" s="223"/>
      <c r="OYE152" s="224"/>
      <c r="OYF152" s="223"/>
      <c r="OYG152" s="223"/>
      <c r="OYH152" s="223"/>
      <c r="OYI152" s="223"/>
      <c r="OYJ152" s="225"/>
      <c r="OYK152" s="220"/>
      <c r="OYL152" s="221"/>
      <c r="OYM152" s="222"/>
      <c r="OYN152" s="222"/>
      <c r="OYO152" s="223"/>
      <c r="OYP152" s="223"/>
      <c r="OYQ152" s="224"/>
      <c r="OYR152" s="223"/>
      <c r="OYS152" s="223"/>
      <c r="OYT152" s="223"/>
      <c r="OYU152" s="223"/>
      <c r="OYV152" s="225"/>
      <c r="OYW152" s="220"/>
      <c r="OYX152" s="221"/>
      <c r="OYY152" s="222"/>
      <c r="OYZ152" s="222"/>
      <c r="OZA152" s="223"/>
      <c r="OZB152" s="223"/>
      <c r="OZC152" s="224"/>
      <c r="OZD152" s="223"/>
      <c r="OZE152" s="223"/>
      <c r="OZF152" s="223"/>
      <c r="OZG152" s="223"/>
      <c r="OZH152" s="225"/>
      <c r="OZI152" s="220"/>
      <c r="OZJ152" s="221"/>
      <c r="OZK152" s="222"/>
      <c r="OZL152" s="222"/>
      <c r="OZM152" s="223"/>
      <c r="OZN152" s="223"/>
      <c r="OZO152" s="224"/>
      <c r="OZP152" s="223"/>
      <c r="OZQ152" s="223"/>
      <c r="OZR152" s="223"/>
      <c r="OZS152" s="223"/>
      <c r="OZT152" s="225"/>
      <c r="OZU152" s="220"/>
      <c r="OZV152" s="221"/>
      <c r="OZW152" s="222"/>
      <c r="OZX152" s="222"/>
      <c r="OZY152" s="223"/>
      <c r="OZZ152" s="223"/>
      <c r="PAA152" s="224"/>
      <c r="PAB152" s="223"/>
      <c r="PAC152" s="223"/>
      <c r="PAD152" s="223"/>
      <c r="PAE152" s="223"/>
      <c r="PAF152" s="225"/>
      <c r="PAG152" s="220"/>
      <c r="PAH152" s="221"/>
      <c r="PAI152" s="222"/>
      <c r="PAJ152" s="222"/>
      <c r="PAK152" s="223"/>
      <c r="PAL152" s="223"/>
      <c r="PAM152" s="224"/>
      <c r="PAN152" s="223"/>
      <c r="PAO152" s="223"/>
      <c r="PAP152" s="223"/>
      <c r="PAQ152" s="223"/>
      <c r="PAR152" s="225"/>
      <c r="PAS152" s="220"/>
      <c r="PAT152" s="221"/>
      <c r="PAU152" s="222"/>
      <c r="PAV152" s="222"/>
      <c r="PAW152" s="223"/>
      <c r="PAX152" s="223"/>
      <c r="PAY152" s="224"/>
      <c r="PAZ152" s="223"/>
      <c r="PBA152" s="223"/>
      <c r="PBB152" s="223"/>
      <c r="PBC152" s="223"/>
      <c r="PBD152" s="225"/>
      <c r="PBE152" s="220"/>
      <c r="PBF152" s="221"/>
      <c r="PBG152" s="222"/>
      <c r="PBH152" s="222"/>
      <c r="PBI152" s="223"/>
      <c r="PBJ152" s="223"/>
      <c r="PBK152" s="224"/>
      <c r="PBL152" s="223"/>
      <c r="PBM152" s="223"/>
      <c r="PBN152" s="223"/>
      <c r="PBO152" s="223"/>
      <c r="PBP152" s="225"/>
      <c r="PBQ152" s="220"/>
      <c r="PBR152" s="221"/>
      <c r="PBS152" s="222"/>
      <c r="PBT152" s="222"/>
      <c r="PBU152" s="223"/>
      <c r="PBV152" s="223"/>
      <c r="PBW152" s="224"/>
      <c r="PBX152" s="223"/>
      <c r="PBY152" s="223"/>
      <c r="PBZ152" s="223"/>
      <c r="PCA152" s="223"/>
      <c r="PCB152" s="225"/>
      <c r="PCC152" s="220"/>
      <c r="PCD152" s="221"/>
      <c r="PCE152" s="222"/>
      <c r="PCF152" s="222"/>
      <c r="PCG152" s="223"/>
      <c r="PCH152" s="223"/>
      <c r="PCI152" s="224"/>
      <c r="PCJ152" s="223"/>
      <c r="PCK152" s="223"/>
      <c r="PCL152" s="223"/>
      <c r="PCM152" s="223"/>
      <c r="PCN152" s="225"/>
      <c r="PCO152" s="220"/>
      <c r="PCP152" s="221"/>
      <c r="PCQ152" s="222"/>
      <c r="PCR152" s="222"/>
      <c r="PCS152" s="223"/>
      <c r="PCT152" s="223"/>
      <c r="PCU152" s="224"/>
      <c r="PCV152" s="223"/>
      <c r="PCW152" s="223"/>
      <c r="PCX152" s="223"/>
      <c r="PCY152" s="223"/>
      <c r="PCZ152" s="225"/>
      <c r="PDA152" s="220"/>
      <c r="PDB152" s="221"/>
      <c r="PDC152" s="222"/>
      <c r="PDD152" s="222"/>
      <c r="PDE152" s="223"/>
      <c r="PDF152" s="223"/>
      <c r="PDG152" s="224"/>
      <c r="PDH152" s="223"/>
      <c r="PDI152" s="223"/>
      <c r="PDJ152" s="223"/>
      <c r="PDK152" s="223"/>
      <c r="PDL152" s="225"/>
      <c r="PDM152" s="220"/>
      <c r="PDN152" s="221"/>
      <c r="PDO152" s="222"/>
      <c r="PDP152" s="222"/>
      <c r="PDQ152" s="223"/>
      <c r="PDR152" s="223"/>
      <c r="PDS152" s="224"/>
      <c r="PDT152" s="223"/>
      <c r="PDU152" s="223"/>
      <c r="PDV152" s="223"/>
      <c r="PDW152" s="223"/>
      <c r="PDX152" s="225"/>
      <c r="PDY152" s="220"/>
      <c r="PDZ152" s="221"/>
      <c r="PEA152" s="222"/>
      <c r="PEB152" s="222"/>
      <c r="PEC152" s="223"/>
      <c r="PED152" s="223"/>
      <c r="PEE152" s="224"/>
      <c r="PEF152" s="223"/>
      <c r="PEG152" s="223"/>
      <c r="PEH152" s="223"/>
      <c r="PEI152" s="223"/>
      <c r="PEJ152" s="225"/>
      <c r="PEK152" s="220"/>
      <c r="PEL152" s="221"/>
      <c r="PEM152" s="222"/>
      <c r="PEN152" s="222"/>
      <c r="PEO152" s="223"/>
      <c r="PEP152" s="223"/>
      <c r="PEQ152" s="224"/>
      <c r="PER152" s="223"/>
      <c r="PES152" s="223"/>
      <c r="PET152" s="223"/>
      <c r="PEU152" s="223"/>
      <c r="PEV152" s="225"/>
      <c r="PEW152" s="220"/>
      <c r="PEX152" s="221"/>
      <c r="PEY152" s="222"/>
      <c r="PEZ152" s="222"/>
      <c r="PFA152" s="223"/>
      <c r="PFB152" s="223"/>
      <c r="PFC152" s="224"/>
      <c r="PFD152" s="223"/>
      <c r="PFE152" s="223"/>
      <c r="PFF152" s="223"/>
      <c r="PFG152" s="223"/>
      <c r="PFH152" s="225"/>
      <c r="PFI152" s="220"/>
      <c r="PFJ152" s="221"/>
      <c r="PFK152" s="222"/>
      <c r="PFL152" s="222"/>
      <c r="PFM152" s="223"/>
      <c r="PFN152" s="223"/>
      <c r="PFO152" s="224"/>
      <c r="PFP152" s="223"/>
      <c r="PFQ152" s="223"/>
      <c r="PFR152" s="223"/>
      <c r="PFS152" s="223"/>
      <c r="PFT152" s="225"/>
      <c r="PFU152" s="220"/>
      <c r="PFV152" s="221"/>
      <c r="PFW152" s="222"/>
      <c r="PFX152" s="222"/>
      <c r="PFY152" s="223"/>
      <c r="PFZ152" s="223"/>
      <c r="PGA152" s="224"/>
      <c r="PGB152" s="223"/>
      <c r="PGC152" s="223"/>
      <c r="PGD152" s="223"/>
      <c r="PGE152" s="223"/>
      <c r="PGF152" s="225"/>
      <c r="PGG152" s="220"/>
      <c r="PGH152" s="221"/>
      <c r="PGI152" s="222"/>
      <c r="PGJ152" s="222"/>
      <c r="PGK152" s="223"/>
      <c r="PGL152" s="223"/>
      <c r="PGM152" s="224"/>
      <c r="PGN152" s="223"/>
      <c r="PGO152" s="223"/>
      <c r="PGP152" s="223"/>
      <c r="PGQ152" s="223"/>
      <c r="PGR152" s="225"/>
      <c r="PGS152" s="220"/>
      <c r="PGT152" s="221"/>
      <c r="PGU152" s="222"/>
      <c r="PGV152" s="222"/>
      <c r="PGW152" s="223"/>
      <c r="PGX152" s="223"/>
      <c r="PGY152" s="224"/>
      <c r="PGZ152" s="223"/>
      <c r="PHA152" s="223"/>
      <c r="PHB152" s="223"/>
      <c r="PHC152" s="223"/>
      <c r="PHD152" s="225"/>
      <c r="PHE152" s="220"/>
      <c r="PHF152" s="221"/>
      <c r="PHG152" s="222"/>
      <c r="PHH152" s="222"/>
      <c r="PHI152" s="223"/>
      <c r="PHJ152" s="223"/>
      <c r="PHK152" s="224"/>
      <c r="PHL152" s="223"/>
      <c r="PHM152" s="223"/>
      <c r="PHN152" s="223"/>
      <c r="PHO152" s="223"/>
      <c r="PHP152" s="225"/>
      <c r="PHQ152" s="220"/>
      <c r="PHR152" s="221"/>
      <c r="PHS152" s="222"/>
      <c r="PHT152" s="222"/>
      <c r="PHU152" s="223"/>
      <c r="PHV152" s="223"/>
      <c r="PHW152" s="224"/>
      <c r="PHX152" s="223"/>
      <c r="PHY152" s="223"/>
      <c r="PHZ152" s="223"/>
      <c r="PIA152" s="223"/>
      <c r="PIB152" s="225"/>
      <c r="PIC152" s="220"/>
      <c r="PID152" s="221"/>
      <c r="PIE152" s="222"/>
      <c r="PIF152" s="222"/>
      <c r="PIG152" s="223"/>
      <c r="PIH152" s="223"/>
      <c r="PII152" s="224"/>
      <c r="PIJ152" s="223"/>
      <c r="PIK152" s="223"/>
      <c r="PIL152" s="223"/>
      <c r="PIM152" s="223"/>
      <c r="PIN152" s="225"/>
      <c r="PIO152" s="220"/>
      <c r="PIP152" s="221"/>
      <c r="PIQ152" s="222"/>
      <c r="PIR152" s="222"/>
      <c r="PIS152" s="223"/>
      <c r="PIT152" s="223"/>
      <c r="PIU152" s="224"/>
      <c r="PIV152" s="223"/>
      <c r="PIW152" s="223"/>
      <c r="PIX152" s="223"/>
      <c r="PIY152" s="223"/>
      <c r="PIZ152" s="225"/>
      <c r="PJA152" s="220"/>
      <c r="PJB152" s="221"/>
      <c r="PJC152" s="222"/>
      <c r="PJD152" s="222"/>
      <c r="PJE152" s="223"/>
      <c r="PJF152" s="223"/>
      <c r="PJG152" s="224"/>
      <c r="PJH152" s="223"/>
      <c r="PJI152" s="223"/>
      <c r="PJJ152" s="223"/>
      <c r="PJK152" s="223"/>
      <c r="PJL152" s="225"/>
      <c r="PJM152" s="220"/>
      <c r="PJN152" s="221"/>
      <c r="PJO152" s="222"/>
      <c r="PJP152" s="222"/>
      <c r="PJQ152" s="223"/>
      <c r="PJR152" s="223"/>
      <c r="PJS152" s="224"/>
      <c r="PJT152" s="223"/>
      <c r="PJU152" s="223"/>
      <c r="PJV152" s="223"/>
      <c r="PJW152" s="223"/>
      <c r="PJX152" s="225"/>
      <c r="PJY152" s="220"/>
      <c r="PJZ152" s="221"/>
      <c r="PKA152" s="222"/>
      <c r="PKB152" s="222"/>
      <c r="PKC152" s="223"/>
      <c r="PKD152" s="223"/>
      <c r="PKE152" s="224"/>
      <c r="PKF152" s="223"/>
      <c r="PKG152" s="223"/>
      <c r="PKH152" s="223"/>
      <c r="PKI152" s="223"/>
      <c r="PKJ152" s="225"/>
      <c r="PKK152" s="220"/>
      <c r="PKL152" s="221"/>
      <c r="PKM152" s="222"/>
      <c r="PKN152" s="222"/>
      <c r="PKO152" s="223"/>
      <c r="PKP152" s="223"/>
      <c r="PKQ152" s="224"/>
      <c r="PKR152" s="223"/>
      <c r="PKS152" s="223"/>
      <c r="PKT152" s="223"/>
      <c r="PKU152" s="223"/>
      <c r="PKV152" s="225"/>
      <c r="PKW152" s="220"/>
      <c r="PKX152" s="221"/>
      <c r="PKY152" s="222"/>
      <c r="PKZ152" s="222"/>
      <c r="PLA152" s="223"/>
      <c r="PLB152" s="223"/>
      <c r="PLC152" s="224"/>
      <c r="PLD152" s="223"/>
      <c r="PLE152" s="223"/>
      <c r="PLF152" s="223"/>
      <c r="PLG152" s="223"/>
      <c r="PLH152" s="225"/>
      <c r="PLI152" s="220"/>
      <c r="PLJ152" s="221"/>
      <c r="PLK152" s="222"/>
      <c r="PLL152" s="222"/>
      <c r="PLM152" s="223"/>
      <c r="PLN152" s="223"/>
      <c r="PLO152" s="224"/>
      <c r="PLP152" s="223"/>
      <c r="PLQ152" s="223"/>
      <c r="PLR152" s="223"/>
      <c r="PLS152" s="223"/>
      <c r="PLT152" s="225"/>
      <c r="PLU152" s="220"/>
      <c r="PLV152" s="221"/>
      <c r="PLW152" s="222"/>
      <c r="PLX152" s="222"/>
      <c r="PLY152" s="223"/>
      <c r="PLZ152" s="223"/>
      <c r="PMA152" s="224"/>
      <c r="PMB152" s="223"/>
      <c r="PMC152" s="223"/>
      <c r="PMD152" s="223"/>
      <c r="PME152" s="223"/>
      <c r="PMF152" s="225"/>
      <c r="PMG152" s="220"/>
      <c r="PMH152" s="221"/>
      <c r="PMI152" s="222"/>
      <c r="PMJ152" s="222"/>
      <c r="PMK152" s="223"/>
      <c r="PML152" s="223"/>
      <c r="PMM152" s="224"/>
      <c r="PMN152" s="223"/>
      <c r="PMO152" s="223"/>
      <c r="PMP152" s="223"/>
      <c r="PMQ152" s="223"/>
      <c r="PMR152" s="225"/>
      <c r="PMS152" s="220"/>
      <c r="PMT152" s="221"/>
      <c r="PMU152" s="222"/>
      <c r="PMV152" s="222"/>
      <c r="PMW152" s="223"/>
      <c r="PMX152" s="223"/>
      <c r="PMY152" s="224"/>
      <c r="PMZ152" s="223"/>
      <c r="PNA152" s="223"/>
      <c r="PNB152" s="223"/>
      <c r="PNC152" s="223"/>
      <c r="PND152" s="225"/>
      <c r="PNE152" s="220"/>
      <c r="PNF152" s="221"/>
      <c r="PNG152" s="222"/>
      <c r="PNH152" s="222"/>
      <c r="PNI152" s="223"/>
      <c r="PNJ152" s="223"/>
      <c r="PNK152" s="224"/>
      <c r="PNL152" s="223"/>
      <c r="PNM152" s="223"/>
      <c r="PNN152" s="223"/>
      <c r="PNO152" s="223"/>
      <c r="PNP152" s="225"/>
      <c r="PNQ152" s="220"/>
      <c r="PNR152" s="221"/>
      <c r="PNS152" s="222"/>
      <c r="PNT152" s="222"/>
      <c r="PNU152" s="223"/>
      <c r="PNV152" s="223"/>
      <c r="PNW152" s="224"/>
      <c r="PNX152" s="223"/>
      <c r="PNY152" s="223"/>
      <c r="PNZ152" s="223"/>
      <c r="POA152" s="223"/>
      <c r="POB152" s="225"/>
      <c r="POC152" s="220"/>
      <c r="POD152" s="221"/>
      <c r="POE152" s="222"/>
      <c r="POF152" s="222"/>
      <c r="POG152" s="223"/>
      <c r="POH152" s="223"/>
      <c r="POI152" s="224"/>
      <c r="POJ152" s="223"/>
      <c r="POK152" s="223"/>
      <c r="POL152" s="223"/>
      <c r="POM152" s="223"/>
      <c r="PON152" s="225"/>
      <c r="POO152" s="220"/>
      <c r="POP152" s="221"/>
      <c r="POQ152" s="222"/>
      <c r="POR152" s="222"/>
      <c r="POS152" s="223"/>
      <c r="POT152" s="223"/>
      <c r="POU152" s="224"/>
      <c r="POV152" s="223"/>
      <c r="POW152" s="223"/>
      <c r="POX152" s="223"/>
      <c r="POY152" s="223"/>
      <c r="POZ152" s="225"/>
      <c r="PPA152" s="220"/>
      <c r="PPB152" s="221"/>
      <c r="PPC152" s="222"/>
      <c r="PPD152" s="222"/>
      <c r="PPE152" s="223"/>
      <c r="PPF152" s="223"/>
      <c r="PPG152" s="224"/>
      <c r="PPH152" s="223"/>
      <c r="PPI152" s="223"/>
      <c r="PPJ152" s="223"/>
      <c r="PPK152" s="223"/>
      <c r="PPL152" s="225"/>
      <c r="PPM152" s="220"/>
      <c r="PPN152" s="221"/>
      <c r="PPO152" s="222"/>
      <c r="PPP152" s="222"/>
      <c r="PPQ152" s="223"/>
      <c r="PPR152" s="223"/>
      <c r="PPS152" s="224"/>
      <c r="PPT152" s="223"/>
      <c r="PPU152" s="223"/>
      <c r="PPV152" s="223"/>
      <c r="PPW152" s="223"/>
      <c r="PPX152" s="225"/>
      <c r="PPY152" s="220"/>
      <c r="PPZ152" s="221"/>
      <c r="PQA152" s="222"/>
      <c r="PQB152" s="222"/>
      <c r="PQC152" s="223"/>
      <c r="PQD152" s="223"/>
      <c r="PQE152" s="224"/>
      <c r="PQF152" s="223"/>
      <c r="PQG152" s="223"/>
      <c r="PQH152" s="223"/>
      <c r="PQI152" s="223"/>
      <c r="PQJ152" s="225"/>
      <c r="PQK152" s="220"/>
      <c r="PQL152" s="221"/>
      <c r="PQM152" s="222"/>
      <c r="PQN152" s="222"/>
      <c r="PQO152" s="223"/>
      <c r="PQP152" s="223"/>
      <c r="PQQ152" s="224"/>
      <c r="PQR152" s="223"/>
      <c r="PQS152" s="223"/>
      <c r="PQT152" s="223"/>
      <c r="PQU152" s="223"/>
      <c r="PQV152" s="225"/>
      <c r="PQW152" s="220"/>
      <c r="PQX152" s="221"/>
      <c r="PQY152" s="222"/>
      <c r="PQZ152" s="222"/>
      <c r="PRA152" s="223"/>
      <c r="PRB152" s="223"/>
      <c r="PRC152" s="224"/>
      <c r="PRD152" s="223"/>
      <c r="PRE152" s="223"/>
      <c r="PRF152" s="223"/>
      <c r="PRG152" s="223"/>
      <c r="PRH152" s="225"/>
      <c r="PRI152" s="220"/>
      <c r="PRJ152" s="221"/>
      <c r="PRK152" s="222"/>
      <c r="PRL152" s="222"/>
      <c r="PRM152" s="223"/>
      <c r="PRN152" s="223"/>
      <c r="PRO152" s="224"/>
      <c r="PRP152" s="223"/>
      <c r="PRQ152" s="223"/>
      <c r="PRR152" s="223"/>
      <c r="PRS152" s="223"/>
      <c r="PRT152" s="225"/>
      <c r="PRU152" s="220"/>
      <c r="PRV152" s="221"/>
      <c r="PRW152" s="222"/>
      <c r="PRX152" s="222"/>
      <c r="PRY152" s="223"/>
      <c r="PRZ152" s="223"/>
      <c r="PSA152" s="224"/>
      <c r="PSB152" s="223"/>
      <c r="PSC152" s="223"/>
      <c r="PSD152" s="223"/>
      <c r="PSE152" s="223"/>
      <c r="PSF152" s="225"/>
      <c r="PSG152" s="220"/>
      <c r="PSH152" s="221"/>
      <c r="PSI152" s="222"/>
      <c r="PSJ152" s="222"/>
      <c r="PSK152" s="223"/>
      <c r="PSL152" s="223"/>
      <c r="PSM152" s="224"/>
      <c r="PSN152" s="223"/>
      <c r="PSO152" s="223"/>
      <c r="PSP152" s="223"/>
      <c r="PSQ152" s="223"/>
      <c r="PSR152" s="225"/>
      <c r="PSS152" s="220"/>
      <c r="PST152" s="221"/>
      <c r="PSU152" s="222"/>
      <c r="PSV152" s="222"/>
      <c r="PSW152" s="223"/>
      <c r="PSX152" s="223"/>
      <c r="PSY152" s="224"/>
      <c r="PSZ152" s="223"/>
      <c r="PTA152" s="223"/>
      <c r="PTB152" s="223"/>
      <c r="PTC152" s="223"/>
      <c r="PTD152" s="225"/>
      <c r="PTE152" s="220"/>
      <c r="PTF152" s="221"/>
      <c r="PTG152" s="222"/>
      <c r="PTH152" s="222"/>
      <c r="PTI152" s="223"/>
      <c r="PTJ152" s="223"/>
      <c r="PTK152" s="224"/>
      <c r="PTL152" s="223"/>
      <c r="PTM152" s="223"/>
      <c r="PTN152" s="223"/>
      <c r="PTO152" s="223"/>
      <c r="PTP152" s="225"/>
      <c r="PTQ152" s="220"/>
      <c r="PTR152" s="221"/>
      <c r="PTS152" s="222"/>
      <c r="PTT152" s="222"/>
      <c r="PTU152" s="223"/>
      <c r="PTV152" s="223"/>
      <c r="PTW152" s="224"/>
      <c r="PTX152" s="223"/>
      <c r="PTY152" s="223"/>
      <c r="PTZ152" s="223"/>
      <c r="PUA152" s="223"/>
      <c r="PUB152" s="225"/>
      <c r="PUC152" s="220"/>
      <c r="PUD152" s="221"/>
      <c r="PUE152" s="222"/>
      <c r="PUF152" s="222"/>
      <c r="PUG152" s="223"/>
      <c r="PUH152" s="223"/>
      <c r="PUI152" s="224"/>
      <c r="PUJ152" s="223"/>
      <c r="PUK152" s="223"/>
      <c r="PUL152" s="223"/>
      <c r="PUM152" s="223"/>
      <c r="PUN152" s="225"/>
      <c r="PUO152" s="220"/>
      <c r="PUP152" s="221"/>
      <c r="PUQ152" s="222"/>
      <c r="PUR152" s="222"/>
      <c r="PUS152" s="223"/>
      <c r="PUT152" s="223"/>
      <c r="PUU152" s="224"/>
      <c r="PUV152" s="223"/>
      <c r="PUW152" s="223"/>
      <c r="PUX152" s="223"/>
      <c r="PUY152" s="223"/>
      <c r="PUZ152" s="225"/>
      <c r="PVA152" s="220"/>
      <c r="PVB152" s="221"/>
      <c r="PVC152" s="222"/>
      <c r="PVD152" s="222"/>
      <c r="PVE152" s="223"/>
      <c r="PVF152" s="223"/>
      <c r="PVG152" s="224"/>
      <c r="PVH152" s="223"/>
      <c r="PVI152" s="223"/>
      <c r="PVJ152" s="223"/>
      <c r="PVK152" s="223"/>
      <c r="PVL152" s="225"/>
      <c r="PVM152" s="220"/>
      <c r="PVN152" s="221"/>
      <c r="PVO152" s="222"/>
      <c r="PVP152" s="222"/>
      <c r="PVQ152" s="223"/>
      <c r="PVR152" s="223"/>
      <c r="PVS152" s="224"/>
      <c r="PVT152" s="223"/>
      <c r="PVU152" s="223"/>
      <c r="PVV152" s="223"/>
      <c r="PVW152" s="223"/>
      <c r="PVX152" s="225"/>
      <c r="PVY152" s="220"/>
      <c r="PVZ152" s="221"/>
      <c r="PWA152" s="222"/>
      <c r="PWB152" s="222"/>
      <c r="PWC152" s="223"/>
      <c r="PWD152" s="223"/>
      <c r="PWE152" s="224"/>
      <c r="PWF152" s="223"/>
      <c r="PWG152" s="223"/>
      <c r="PWH152" s="223"/>
      <c r="PWI152" s="223"/>
      <c r="PWJ152" s="225"/>
      <c r="PWK152" s="220"/>
      <c r="PWL152" s="221"/>
      <c r="PWM152" s="222"/>
      <c r="PWN152" s="222"/>
      <c r="PWO152" s="223"/>
      <c r="PWP152" s="223"/>
      <c r="PWQ152" s="224"/>
      <c r="PWR152" s="223"/>
      <c r="PWS152" s="223"/>
      <c r="PWT152" s="223"/>
      <c r="PWU152" s="223"/>
      <c r="PWV152" s="225"/>
      <c r="PWW152" s="220"/>
      <c r="PWX152" s="221"/>
      <c r="PWY152" s="222"/>
      <c r="PWZ152" s="222"/>
      <c r="PXA152" s="223"/>
      <c r="PXB152" s="223"/>
      <c r="PXC152" s="224"/>
      <c r="PXD152" s="223"/>
      <c r="PXE152" s="223"/>
      <c r="PXF152" s="223"/>
      <c r="PXG152" s="223"/>
      <c r="PXH152" s="225"/>
      <c r="PXI152" s="220"/>
      <c r="PXJ152" s="221"/>
      <c r="PXK152" s="222"/>
      <c r="PXL152" s="222"/>
      <c r="PXM152" s="223"/>
      <c r="PXN152" s="223"/>
      <c r="PXO152" s="224"/>
      <c r="PXP152" s="223"/>
      <c r="PXQ152" s="223"/>
      <c r="PXR152" s="223"/>
      <c r="PXS152" s="223"/>
      <c r="PXT152" s="225"/>
      <c r="PXU152" s="220"/>
      <c r="PXV152" s="221"/>
      <c r="PXW152" s="222"/>
      <c r="PXX152" s="222"/>
      <c r="PXY152" s="223"/>
      <c r="PXZ152" s="223"/>
      <c r="PYA152" s="224"/>
      <c r="PYB152" s="223"/>
      <c r="PYC152" s="223"/>
      <c r="PYD152" s="223"/>
      <c r="PYE152" s="223"/>
      <c r="PYF152" s="225"/>
      <c r="PYG152" s="220"/>
      <c r="PYH152" s="221"/>
      <c r="PYI152" s="222"/>
      <c r="PYJ152" s="222"/>
      <c r="PYK152" s="223"/>
      <c r="PYL152" s="223"/>
      <c r="PYM152" s="224"/>
      <c r="PYN152" s="223"/>
      <c r="PYO152" s="223"/>
      <c r="PYP152" s="223"/>
      <c r="PYQ152" s="223"/>
      <c r="PYR152" s="225"/>
      <c r="PYS152" s="220"/>
      <c r="PYT152" s="221"/>
      <c r="PYU152" s="222"/>
      <c r="PYV152" s="222"/>
      <c r="PYW152" s="223"/>
      <c r="PYX152" s="223"/>
      <c r="PYY152" s="224"/>
      <c r="PYZ152" s="223"/>
      <c r="PZA152" s="223"/>
      <c r="PZB152" s="223"/>
      <c r="PZC152" s="223"/>
      <c r="PZD152" s="225"/>
      <c r="PZE152" s="220"/>
      <c r="PZF152" s="221"/>
      <c r="PZG152" s="222"/>
      <c r="PZH152" s="222"/>
      <c r="PZI152" s="223"/>
      <c r="PZJ152" s="223"/>
      <c r="PZK152" s="224"/>
      <c r="PZL152" s="223"/>
      <c r="PZM152" s="223"/>
      <c r="PZN152" s="223"/>
      <c r="PZO152" s="223"/>
      <c r="PZP152" s="225"/>
      <c r="PZQ152" s="220"/>
      <c r="PZR152" s="221"/>
      <c r="PZS152" s="222"/>
      <c r="PZT152" s="222"/>
      <c r="PZU152" s="223"/>
      <c r="PZV152" s="223"/>
      <c r="PZW152" s="224"/>
      <c r="PZX152" s="223"/>
      <c r="PZY152" s="223"/>
      <c r="PZZ152" s="223"/>
      <c r="QAA152" s="223"/>
      <c r="QAB152" s="225"/>
      <c r="QAC152" s="220"/>
      <c r="QAD152" s="221"/>
      <c r="QAE152" s="222"/>
      <c r="QAF152" s="222"/>
      <c r="QAG152" s="223"/>
      <c r="QAH152" s="223"/>
      <c r="QAI152" s="224"/>
      <c r="QAJ152" s="223"/>
      <c r="QAK152" s="223"/>
      <c r="QAL152" s="223"/>
      <c r="QAM152" s="223"/>
      <c r="QAN152" s="225"/>
      <c r="QAO152" s="220"/>
      <c r="QAP152" s="221"/>
      <c r="QAQ152" s="222"/>
      <c r="QAR152" s="222"/>
      <c r="QAS152" s="223"/>
      <c r="QAT152" s="223"/>
      <c r="QAU152" s="224"/>
      <c r="QAV152" s="223"/>
      <c r="QAW152" s="223"/>
      <c r="QAX152" s="223"/>
      <c r="QAY152" s="223"/>
      <c r="QAZ152" s="225"/>
      <c r="QBA152" s="220"/>
      <c r="QBB152" s="221"/>
      <c r="QBC152" s="222"/>
      <c r="QBD152" s="222"/>
      <c r="QBE152" s="223"/>
      <c r="QBF152" s="223"/>
      <c r="QBG152" s="224"/>
      <c r="QBH152" s="223"/>
      <c r="QBI152" s="223"/>
      <c r="QBJ152" s="223"/>
      <c r="QBK152" s="223"/>
      <c r="QBL152" s="225"/>
      <c r="QBM152" s="220"/>
      <c r="QBN152" s="221"/>
      <c r="QBO152" s="222"/>
      <c r="QBP152" s="222"/>
      <c r="QBQ152" s="223"/>
      <c r="QBR152" s="223"/>
      <c r="QBS152" s="224"/>
      <c r="QBT152" s="223"/>
      <c r="QBU152" s="223"/>
      <c r="QBV152" s="223"/>
      <c r="QBW152" s="223"/>
      <c r="QBX152" s="225"/>
      <c r="QBY152" s="220"/>
      <c r="QBZ152" s="221"/>
      <c r="QCA152" s="222"/>
      <c r="QCB152" s="222"/>
      <c r="QCC152" s="223"/>
      <c r="QCD152" s="223"/>
      <c r="QCE152" s="224"/>
      <c r="QCF152" s="223"/>
      <c r="QCG152" s="223"/>
      <c r="QCH152" s="223"/>
      <c r="QCI152" s="223"/>
      <c r="QCJ152" s="225"/>
      <c r="QCK152" s="220"/>
      <c r="QCL152" s="221"/>
      <c r="QCM152" s="222"/>
      <c r="QCN152" s="222"/>
      <c r="QCO152" s="223"/>
      <c r="QCP152" s="223"/>
      <c r="QCQ152" s="224"/>
      <c r="QCR152" s="223"/>
      <c r="QCS152" s="223"/>
      <c r="QCT152" s="223"/>
      <c r="QCU152" s="223"/>
      <c r="QCV152" s="225"/>
      <c r="QCW152" s="220"/>
      <c r="QCX152" s="221"/>
      <c r="QCY152" s="222"/>
      <c r="QCZ152" s="222"/>
      <c r="QDA152" s="223"/>
      <c r="QDB152" s="223"/>
      <c r="QDC152" s="224"/>
      <c r="QDD152" s="223"/>
      <c r="QDE152" s="223"/>
      <c r="QDF152" s="223"/>
      <c r="QDG152" s="223"/>
      <c r="QDH152" s="225"/>
      <c r="QDI152" s="220"/>
      <c r="QDJ152" s="221"/>
      <c r="QDK152" s="222"/>
      <c r="QDL152" s="222"/>
      <c r="QDM152" s="223"/>
      <c r="QDN152" s="223"/>
      <c r="QDO152" s="224"/>
      <c r="QDP152" s="223"/>
      <c r="QDQ152" s="223"/>
      <c r="QDR152" s="223"/>
      <c r="QDS152" s="223"/>
      <c r="QDT152" s="225"/>
      <c r="QDU152" s="220"/>
      <c r="QDV152" s="221"/>
      <c r="QDW152" s="222"/>
      <c r="QDX152" s="222"/>
      <c r="QDY152" s="223"/>
      <c r="QDZ152" s="223"/>
      <c r="QEA152" s="224"/>
      <c r="QEB152" s="223"/>
      <c r="QEC152" s="223"/>
      <c r="QED152" s="223"/>
      <c r="QEE152" s="223"/>
      <c r="QEF152" s="225"/>
      <c r="QEG152" s="220"/>
      <c r="QEH152" s="221"/>
      <c r="QEI152" s="222"/>
      <c r="QEJ152" s="222"/>
      <c r="QEK152" s="223"/>
      <c r="QEL152" s="223"/>
      <c r="QEM152" s="224"/>
      <c r="QEN152" s="223"/>
      <c r="QEO152" s="223"/>
      <c r="QEP152" s="223"/>
      <c r="QEQ152" s="223"/>
      <c r="QER152" s="225"/>
      <c r="QES152" s="220"/>
      <c r="QET152" s="221"/>
      <c r="QEU152" s="222"/>
      <c r="QEV152" s="222"/>
      <c r="QEW152" s="223"/>
      <c r="QEX152" s="223"/>
      <c r="QEY152" s="224"/>
      <c r="QEZ152" s="223"/>
      <c r="QFA152" s="223"/>
      <c r="QFB152" s="223"/>
      <c r="QFC152" s="223"/>
      <c r="QFD152" s="225"/>
      <c r="QFE152" s="220"/>
      <c r="QFF152" s="221"/>
      <c r="QFG152" s="222"/>
      <c r="QFH152" s="222"/>
      <c r="QFI152" s="223"/>
      <c r="QFJ152" s="223"/>
      <c r="QFK152" s="224"/>
      <c r="QFL152" s="223"/>
      <c r="QFM152" s="223"/>
      <c r="QFN152" s="223"/>
      <c r="QFO152" s="223"/>
      <c r="QFP152" s="225"/>
      <c r="QFQ152" s="220"/>
      <c r="QFR152" s="221"/>
      <c r="QFS152" s="222"/>
      <c r="QFT152" s="222"/>
      <c r="QFU152" s="223"/>
      <c r="QFV152" s="223"/>
      <c r="QFW152" s="224"/>
      <c r="QFX152" s="223"/>
      <c r="QFY152" s="223"/>
      <c r="QFZ152" s="223"/>
      <c r="QGA152" s="223"/>
      <c r="QGB152" s="225"/>
      <c r="QGC152" s="220"/>
      <c r="QGD152" s="221"/>
      <c r="QGE152" s="222"/>
      <c r="QGF152" s="222"/>
      <c r="QGG152" s="223"/>
      <c r="QGH152" s="223"/>
      <c r="QGI152" s="224"/>
      <c r="QGJ152" s="223"/>
      <c r="QGK152" s="223"/>
      <c r="QGL152" s="223"/>
      <c r="QGM152" s="223"/>
      <c r="QGN152" s="225"/>
      <c r="QGO152" s="220"/>
      <c r="QGP152" s="221"/>
      <c r="QGQ152" s="222"/>
      <c r="QGR152" s="222"/>
      <c r="QGS152" s="223"/>
      <c r="QGT152" s="223"/>
      <c r="QGU152" s="224"/>
      <c r="QGV152" s="223"/>
      <c r="QGW152" s="223"/>
      <c r="QGX152" s="223"/>
      <c r="QGY152" s="223"/>
      <c r="QGZ152" s="225"/>
      <c r="QHA152" s="220"/>
      <c r="QHB152" s="221"/>
      <c r="QHC152" s="222"/>
      <c r="QHD152" s="222"/>
      <c r="QHE152" s="223"/>
      <c r="QHF152" s="223"/>
      <c r="QHG152" s="224"/>
      <c r="QHH152" s="223"/>
      <c r="QHI152" s="223"/>
      <c r="QHJ152" s="223"/>
      <c r="QHK152" s="223"/>
      <c r="QHL152" s="225"/>
      <c r="QHM152" s="220"/>
      <c r="QHN152" s="221"/>
      <c r="QHO152" s="222"/>
      <c r="QHP152" s="222"/>
      <c r="QHQ152" s="223"/>
      <c r="QHR152" s="223"/>
      <c r="QHS152" s="224"/>
      <c r="QHT152" s="223"/>
      <c r="QHU152" s="223"/>
      <c r="QHV152" s="223"/>
      <c r="QHW152" s="223"/>
      <c r="QHX152" s="225"/>
      <c r="QHY152" s="220"/>
      <c r="QHZ152" s="221"/>
      <c r="QIA152" s="222"/>
      <c r="QIB152" s="222"/>
      <c r="QIC152" s="223"/>
      <c r="QID152" s="223"/>
      <c r="QIE152" s="224"/>
      <c r="QIF152" s="223"/>
      <c r="QIG152" s="223"/>
      <c r="QIH152" s="223"/>
      <c r="QII152" s="223"/>
      <c r="QIJ152" s="225"/>
      <c r="QIK152" s="220"/>
      <c r="QIL152" s="221"/>
      <c r="QIM152" s="222"/>
      <c r="QIN152" s="222"/>
      <c r="QIO152" s="223"/>
      <c r="QIP152" s="223"/>
      <c r="QIQ152" s="224"/>
      <c r="QIR152" s="223"/>
      <c r="QIS152" s="223"/>
      <c r="QIT152" s="223"/>
      <c r="QIU152" s="223"/>
      <c r="QIV152" s="225"/>
      <c r="QIW152" s="220"/>
      <c r="QIX152" s="221"/>
      <c r="QIY152" s="222"/>
      <c r="QIZ152" s="222"/>
      <c r="QJA152" s="223"/>
      <c r="QJB152" s="223"/>
      <c r="QJC152" s="224"/>
      <c r="QJD152" s="223"/>
      <c r="QJE152" s="223"/>
      <c r="QJF152" s="223"/>
      <c r="QJG152" s="223"/>
      <c r="QJH152" s="225"/>
      <c r="QJI152" s="220"/>
      <c r="QJJ152" s="221"/>
      <c r="QJK152" s="222"/>
      <c r="QJL152" s="222"/>
      <c r="QJM152" s="223"/>
      <c r="QJN152" s="223"/>
      <c r="QJO152" s="224"/>
      <c r="QJP152" s="223"/>
      <c r="QJQ152" s="223"/>
      <c r="QJR152" s="223"/>
      <c r="QJS152" s="223"/>
      <c r="QJT152" s="225"/>
      <c r="QJU152" s="220"/>
      <c r="QJV152" s="221"/>
      <c r="QJW152" s="222"/>
      <c r="QJX152" s="222"/>
      <c r="QJY152" s="223"/>
      <c r="QJZ152" s="223"/>
      <c r="QKA152" s="224"/>
      <c r="QKB152" s="223"/>
      <c r="QKC152" s="223"/>
      <c r="QKD152" s="223"/>
      <c r="QKE152" s="223"/>
      <c r="QKF152" s="225"/>
      <c r="QKG152" s="220"/>
      <c r="QKH152" s="221"/>
      <c r="QKI152" s="222"/>
      <c r="QKJ152" s="222"/>
      <c r="QKK152" s="223"/>
      <c r="QKL152" s="223"/>
      <c r="QKM152" s="224"/>
      <c r="QKN152" s="223"/>
      <c r="QKO152" s="223"/>
      <c r="QKP152" s="223"/>
      <c r="QKQ152" s="223"/>
      <c r="QKR152" s="225"/>
      <c r="QKS152" s="220"/>
      <c r="QKT152" s="221"/>
      <c r="QKU152" s="222"/>
      <c r="QKV152" s="222"/>
      <c r="QKW152" s="223"/>
      <c r="QKX152" s="223"/>
      <c r="QKY152" s="224"/>
      <c r="QKZ152" s="223"/>
      <c r="QLA152" s="223"/>
      <c r="QLB152" s="223"/>
      <c r="QLC152" s="223"/>
      <c r="QLD152" s="225"/>
      <c r="QLE152" s="220"/>
      <c r="QLF152" s="221"/>
      <c r="QLG152" s="222"/>
      <c r="QLH152" s="222"/>
      <c r="QLI152" s="223"/>
      <c r="QLJ152" s="223"/>
      <c r="QLK152" s="224"/>
      <c r="QLL152" s="223"/>
      <c r="QLM152" s="223"/>
      <c r="QLN152" s="223"/>
      <c r="QLO152" s="223"/>
      <c r="QLP152" s="225"/>
      <c r="QLQ152" s="220"/>
      <c r="QLR152" s="221"/>
      <c r="QLS152" s="222"/>
      <c r="QLT152" s="222"/>
      <c r="QLU152" s="223"/>
      <c r="QLV152" s="223"/>
      <c r="QLW152" s="224"/>
      <c r="QLX152" s="223"/>
      <c r="QLY152" s="223"/>
      <c r="QLZ152" s="223"/>
      <c r="QMA152" s="223"/>
      <c r="QMB152" s="225"/>
      <c r="QMC152" s="220"/>
      <c r="QMD152" s="221"/>
      <c r="QME152" s="222"/>
      <c r="QMF152" s="222"/>
      <c r="QMG152" s="223"/>
      <c r="QMH152" s="223"/>
      <c r="QMI152" s="224"/>
      <c r="QMJ152" s="223"/>
      <c r="QMK152" s="223"/>
      <c r="QML152" s="223"/>
      <c r="QMM152" s="223"/>
      <c r="QMN152" s="225"/>
      <c r="QMO152" s="220"/>
      <c r="QMP152" s="221"/>
      <c r="QMQ152" s="222"/>
      <c r="QMR152" s="222"/>
      <c r="QMS152" s="223"/>
      <c r="QMT152" s="223"/>
      <c r="QMU152" s="224"/>
      <c r="QMV152" s="223"/>
      <c r="QMW152" s="223"/>
      <c r="QMX152" s="223"/>
      <c r="QMY152" s="223"/>
      <c r="QMZ152" s="225"/>
      <c r="QNA152" s="220"/>
      <c r="QNB152" s="221"/>
      <c r="QNC152" s="222"/>
      <c r="QND152" s="222"/>
      <c r="QNE152" s="223"/>
      <c r="QNF152" s="223"/>
      <c r="QNG152" s="224"/>
      <c r="QNH152" s="223"/>
      <c r="QNI152" s="223"/>
      <c r="QNJ152" s="223"/>
      <c r="QNK152" s="223"/>
      <c r="QNL152" s="225"/>
      <c r="QNM152" s="220"/>
      <c r="QNN152" s="221"/>
      <c r="QNO152" s="222"/>
      <c r="QNP152" s="222"/>
      <c r="QNQ152" s="223"/>
      <c r="QNR152" s="223"/>
      <c r="QNS152" s="224"/>
      <c r="QNT152" s="223"/>
      <c r="QNU152" s="223"/>
      <c r="QNV152" s="223"/>
      <c r="QNW152" s="223"/>
      <c r="QNX152" s="225"/>
      <c r="QNY152" s="220"/>
      <c r="QNZ152" s="221"/>
      <c r="QOA152" s="222"/>
      <c r="QOB152" s="222"/>
      <c r="QOC152" s="223"/>
      <c r="QOD152" s="223"/>
      <c r="QOE152" s="224"/>
      <c r="QOF152" s="223"/>
      <c r="QOG152" s="223"/>
      <c r="QOH152" s="223"/>
      <c r="QOI152" s="223"/>
      <c r="QOJ152" s="225"/>
      <c r="QOK152" s="220"/>
      <c r="QOL152" s="221"/>
      <c r="QOM152" s="222"/>
      <c r="QON152" s="222"/>
      <c r="QOO152" s="223"/>
      <c r="QOP152" s="223"/>
      <c r="QOQ152" s="224"/>
      <c r="QOR152" s="223"/>
      <c r="QOS152" s="223"/>
      <c r="QOT152" s="223"/>
      <c r="QOU152" s="223"/>
      <c r="QOV152" s="225"/>
      <c r="QOW152" s="220"/>
      <c r="QOX152" s="221"/>
      <c r="QOY152" s="222"/>
      <c r="QOZ152" s="222"/>
      <c r="QPA152" s="223"/>
      <c r="QPB152" s="223"/>
      <c r="QPC152" s="224"/>
      <c r="QPD152" s="223"/>
      <c r="QPE152" s="223"/>
      <c r="QPF152" s="223"/>
      <c r="QPG152" s="223"/>
      <c r="QPH152" s="225"/>
      <c r="QPI152" s="220"/>
      <c r="QPJ152" s="221"/>
      <c r="QPK152" s="222"/>
      <c r="QPL152" s="222"/>
      <c r="QPM152" s="223"/>
      <c r="QPN152" s="223"/>
      <c r="QPO152" s="224"/>
      <c r="QPP152" s="223"/>
      <c r="QPQ152" s="223"/>
      <c r="QPR152" s="223"/>
      <c r="QPS152" s="223"/>
      <c r="QPT152" s="225"/>
      <c r="QPU152" s="220"/>
      <c r="QPV152" s="221"/>
      <c r="QPW152" s="222"/>
      <c r="QPX152" s="222"/>
      <c r="QPY152" s="223"/>
      <c r="QPZ152" s="223"/>
      <c r="QQA152" s="224"/>
      <c r="QQB152" s="223"/>
      <c r="QQC152" s="223"/>
      <c r="QQD152" s="223"/>
      <c r="QQE152" s="223"/>
      <c r="QQF152" s="225"/>
      <c r="QQG152" s="220"/>
      <c r="QQH152" s="221"/>
      <c r="QQI152" s="222"/>
      <c r="QQJ152" s="222"/>
      <c r="QQK152" s="223"/>
      <c r="QQL152" s="223"/>
      <c r="QQM152" s="224"/>
      <c r="QQN152" s="223"/>
      <c r="QQO152" s="223"/>
      <c r="QQP152" s="223"/>
      <c r="QQQ152" s="223"/>
      <c r="QQR152" s="225"/>
      <c r="QQS152" s="220"/>
      <c r="QQT152" s="221"/>
      <c r="QQU152" s="222"/>
      <c r="QQV152" s="222"/>
      <c r="QQW152" s="223"/>
      <c r="QQX152" s="223"/>
      <c r="QQY152" s="224"/>
      <c r="QQZ152" s="223"/>
      <c r="QRA152" s="223"/>
      <c r="QRB152" s="223"/>
      <c r="QRC152" s="223"/>
      <c r="QRD152" s="225"/>
      <c r="QRE152" s="220"/>
      <c r="QRF152" s="221"/>
      <c r="QRG152" s="222"/>
      <c r="QRH152" s="222"/>
      <c r="QRI152" s="223"/>
      <c r="QRJ152" s="223"/>
      <c r="QRK152" s="224"/>
      <c r="QRL152" s="223"/>
      <c r="QRM152" s="223"/>
      <c r="QRN152" s="223"/>
      <c r="QRO152" s="223"/>
      <c r="QRP152" s="225"/>
      <c r="QRQ152" s="220"/>
      <c r="QRR152" s="221"/>
      <c r="QRS152" s="222"/>
      <c r="QRT152" s="222"/>
      <c r="QRU152" s="223"/>
      <c r="QRV152" s="223"/>
      <c r="QRW152" s="224"/>
      <c r="QRX152" s="223"/>
      <c r="QRY152" s="223"/>
      <c r="QRZ152" s="223"/>
      <c r="QSA152" s="223"/>
      <c r="QSB152" s="225"/>
      <c r="QSC152" s="220"/>
      <c r="QSD152" s="221"/>
      <c r="QSE152" s="222"/>
      <c r="QSF152" s="222"/>
      <c r="QSG152" s="223"/>
      <c r="QSH152" s="223"/>
      <c r="QSI152" s="224"/>
      <c r="QSJ152" s="223"/>
      <c r="QSK152" s="223"/>
      <c r="QSL152" s="223"/>
      <c r="QSM152" s="223"/>
      <c r="QSN152" s="225"/>
      <c r="QSO152" s="220"/>
      <c r="QSP152" s="221"/>
      <c r="QSQ152" s="222"/>
      <c r="QSR152" s="222"/>
      <c r="QSS152" s="223"/>
      <c r="QST152" s="223"/>
      <c r="QSU152" s="224"/>
      <c r="QSV152" s="223"/>
      <c r="QSW152" s="223"/>
      <c r="QSX152" s="223"/>
      <c r="QSY152" s="223"/>
      <c r="QSZ152" s="225"/>
      <c r="QTA152" s="220"/>
      <c r="QTB152" s="221"/>
      <c r="QTC152" s="222"/>
      <c r="QTD152" s="222"/>
      <c r="QTE152" s="223"/>
      <c r="QTF152" s="223"/>
      <c r="QTG152" s="224"/>
      <c r="QTH152" s="223"/>
      <c r="QTI152" s="223"/>
      <c r="QTJ152" s="223"/>
      <c r="QTK152" s="223"/>
      <c r="QTL152" s="225"/>
      <c r="QTM152" s="220"/>
      <c r="QTN152" s="221"/>
      <c r="QTO152" s="222"/>
      <c r="QTP152" s="222"/>
      <c r="QTQ152" s="223"/>
      <c r="QTR152" s="223"/>
      <c r="QTS152" s="224"/>
      <c r="QTT152" s="223"/>
      <c r="QTU152" s="223"/>
      <c r="QTV152" s="223"/>
      <c r="QTW152" s="223"/>
      <c r="QTX152" s="225"/>
      <c r="QTY152" s="220"/>
      <c r="QTZ152" s="221"/>
      <c r="QUA152" s="222"/>
      <c r="QUB152" s="222"/>
      <c r="QUC152" s="223"/>
      <c r="QUD152" s="223"/>
      <c r="QUE152" s="224"/>
      <c r="QUF152" s="223"/>
      <c r="QUG152" s="223"/>
      <c r="QUH152" s="223"/>
      <c r="QUI152" s="223"/>
      <c r="QUJ152" s="225"/>
      <c r="QUK152" s="220"/>
      <c r="QUL152" s="221"/>
      <c r="QUM152" s="222"/>
      <c r="QUN152" s="222"/>
      <c r="QUO152" s="223"/>
      <c r="QUP152" s="223"/>
      <c r="QUQ152" s="224"/>
      <c r="QUR152" s="223"/>
      <c r="QUS152" s="223"/>
      <c r="QUT152" s="223"/>
      <c r="QUU152" s="223"/>
      <c r="QUV152" s="225"/>
      <c r="QUW152" s="220"/>
      <c r="QUX152" s="221"/>
      <c r="QUY152" s="222"/>
      <c r="QUZ152" s="222"/>
      <c r="QVA152" s="223"/>
      <c r="QVB152" s="223"/>
      <c r="QVC152" s="224"/>
      <c r="QVD152" s="223"/>
      <c r="QVE152" s="223"/>
      <c r="QVF152" s="223"/>
      <c r="QVG152" s="223"/>
      <c r="QVH152" s="225"/>
      <c r="QVI152" s="220"/>
      <c r="QVJ152" s="221"/>
      <c r="QVK152" s="222"/>
      <c r="QVL152" s="222"/>
      <c r="QVM152" s="223"/>
      <c r="QVN152" s="223"/>
      <c r="QVO152" s="224"/>
      <c r="QVP152" s="223"/>
      <c r="QVQ152" s="223"/>
      <c r="QVR152" s="223"/>
      <c r="QVS152" s="223"/>
      <c r="QVT152" s="225"/>
      <c r="QVU152" s="220"/>
      <c r="QVV152" s="221"/>
      <c r="QVW152" s="222"/>
      <c r="QVX152" s="222"/>
      <c r="QVY152" s="223"/>
      <c r="QVZ152" s="223"/>
      <c r="QWA152" s="224"/>
      <c r="QWB152" s="223"/>
      <c r="QWC152" s="223"/>
      <c r="QWD152" s="223"/>
      <c r="QWE152" s="223"/>
      <c r="QWF152" s="225"/>
      <c r="QWG152" s="220"/>
      <c r="QWH152" s="221"/>
      <c r="QWI152" s="222"/>
      <c r="QWJ152" s="222"/>
      <c r="QWK152" s="223"/>
      <c r="QWL152" s="223"/>
      <c r="QWM152" s="224"/>
      <c r="QWN152" s="223"/>
      <c r="QWO152" s="223"/>
      <c r="QWP152" s="223"/>
      <c r="QWQ152" s="223"/>
      <c r="QWR152" s="225"/>
      <c r="QWS152" s="220"/>
      <c r="QWT152" s="221"/>
      <c r="QWU152" s="222"/>
      <c r="QWV152" s="222"/>
      <c r="QWW152" s="223"/>
      <c r="QWX152" s="223"/>
      <c r="QWY152" s="224"/>
      <c r="QWZ152" s="223"/>
      <c r="QXA152" s="223"/>
      <c r="QXB152" s="223"/>
      <c r="QXC152" s="223"/>
      <c r="QXD152" s="225"/>
      <c r="QXE152" s="220"/>
      <c r="QXF152" s="221"/>
      <c r="QXG152" s="222"/>
      <c r="QXH152" s="222"/>
      <c r="QXI152" s="223"/>
      <c r="QXJ152" s="223"/>
      <c r="QXK152" s="224"/>
      <c r="QXL152" s="223"/>
      <c r="QXM152" s="223"/>
      <c r="QXN152" s="223"/>
      <c r="QXO152" s="223"/>
      <c r="QXP152" s="225"/>
      <c r="QXQ152" s="220"/>
      <c r="QXR152" s="221"/>
      <c r="QXS152" s="222"/>
      <c r="QXT152" s="222"/>
      <c r="QXU152" s="223"/>
      <c r="QXV152" s="223"/>
      <c r="QXW152" s="224"/>
      <c r="QXX152" s="223"/>
      <c r="QXY152" s="223"/>
      <c r="QXZ152" s="223"/>
      <c r="QYA152" s="223"/>
      <c r="QYB152" s="225"/>
      <c r="QYC152" s="220"/>
      <c r="QYD152" s="221"/>
      <c r="QYE152" s="222"/>
      <c r="QYF152" s="222"/>
      <c r="QYG152" s="223"/>
      <c r="QYH152" s="223"/>
      <c r="QYI152" s="224"/>
      <c r="QYJ152" s="223"/>
      <c r="QYK152" s="223"/>
      <c r="QYL152" s="223"/>
      <c r="QYM152" s="223"/>
      <c r="QYN152" s="225"/>
      <c r="QYO152" s="220"/>
      <c r="QYP152" s="221"/>
      <c r="QYQ152" s="222"/>
      <c r="QYR152" s="222"/>
      <c r="QYS152" s="223"/>
      <c r="QYT152" s="223"/>
      <c r="QYU152" s="224"/>
      <c r="QYV152" s="223"/>
      <c r="QYW152" s="223"/>
      <c r="QYX152" s="223"/>
      <c r="QYY152" s="223"/>
      <c r="QYZ152" s="225"/>
      <c r="QZA152" s="220"/>
      <c r="QZB152" s="221"/>
      <c r="QZC152" s="222"/>
      <c r="QZD152" s="222"/>
      <c r="QZE152" s="223"/>
      <c r="QZF152" s="223"/>
      <c r="QZG152" s="224"/>
      <c r="QZH152" s="223"/>
      <c r="QZI152" s="223"/>
      <c r="QZJ152" s="223"/>
      <c r="QZK152" s="223"/>
      <c r="QZL152" s="225"/>
      <c r="QZM152" s="220"/>
      <c r="QZN152" s="221"/>
      <c r="QZO152" s="222"/>
      <c r="QZP152" s="222"/>
      <c r="QZQ152" s="223"/>
      <c r="QZR152" s="223"/>
      <c r="QZS152" s="224"/>
      <c r="QZT152" s="223"/>
      <c r="QZU152" s="223"/>
      <c r="QZV152" s="223"/>
      <c r="QZW152" s="223"/>
      <c r="QZX152" s="225"/>
      <c r="QZY152" s="220"/>
      <c r="QZZ152" s="221"/>
      <c r="RAA152" s="222"/>
      <c r="RAB152" s="222"/>
      <c r="RAC152" s="223"/>
      <c r="RAD152" s="223"/>
      <c r="RAE152" s="224"/>
      <c r="RAF152" s="223"/>
      <c r="RAG152" s="223"/>
      <c r="RAH152" s="223"/>
      <c r="RAI152" s="223"/>
      <c r="RAJ152" s="225"/>
      <c r="RAK152" s="220"/>
      <c r="RAL152" s="221"/>
      <c r="RAM152" s="222"/>
      <c r="RAN152" s="222"/>
      <c r="RAO152" s="223"/>
      <c r="RAP152" s="223"/>
      <c r="RAQ152" s="224"/>
      <c r="RAR152" s="223"/>
      <c r="RAS152" s="223"/>
      <c r="RAT152" s="223"/>
      <c r="RAU152" s="223"/>
      <c r="RAV152" s="225"/>
      <c r="RAW152" s="220"/>
      <c r="RAX152" s="221"/>
      <c r="RAY152" s="222"/>
      <c r="RAZ152" s="222"/>
      <c r="RBA152" s="223"/>
      <c r="RBB152" s="223"/>
      <c r="RBC152" s="224"/>
      <c r="RBD152" s="223"/>
      <c r="RBE152" s="223"/>
      <c r="RBF152" s="223"/>
      <c r="RBG152" s="223"/>
      <c r="RBH152" s="225"/>
      <c r="RBI152" s="220"/>
      <c r="RBJ152" s="221"/>
      <c r="RBK152" s="222"/>
      <c r="RBL152" s="222"/>
      <c r="RBM152" s="223"/>
      <c r="RBN152" s="223"/>
      <c r="RBO152" s="224"/>
      <c r="RBP152" s="223"/>
      <c r="RBQ152" s="223"/>
      <c r="RBR152" s="223"/>
      <c r="RBS152" s="223"/>
      <c r="RBT152" s="225"/>
      <c r="RBU152" s="220"/>
      <c r="RBV152" s="221"/>
      <c r="RBW152" s="222"/>
      <c r="RBX152" s="222"/>
      <c r="RBY152" s="223"/>
      <c r="RBZ152" s="223"/>
      <c r="RCA152" s="224"/>
      <c r="RCB152" s="223"/>
      <c r="RCC152" s="223"/>
      <c r="RCD152" s="223"/>
      <c r="RCE152" s="223"/>
      <c r="RCF152" s="225"/>
      <c r="RCG152" s="220"/>
      <c r="RCH152" s="221"/>
      <c r="RCI152" s="222"/>
      <c r="RCJ152" s="222"/>
      <c r="RCK152" s="223"/>
      <c r="RCL152" s="223"/>
      <c r="RCM152" s="224"/>
      <c r="RCN152" s="223"/>
      <c r="RCO152" s="223"/>
      <c r="RCP152" s="223"/>
      <c r="RCQ152" s="223"/>
      <c r="RCR152" s="225"/>
      <c r="RCS152" s="220"/>
      <c r="RCT152" s="221"/>
      <c r="RCU152" s="222"/>
      <c r="RCV152" s="222"/>
      <c r="RCW152" s="223"/>
      <c r="RCX152" s="223"/>
      <c r="RCY152" s="224"/>
      <c r="RCZ152" s="223"/>
      <c r="RDA152" s="223"/>
      <c r="RDB152" s="223"/>
      <c r="RDC152" s="223"/>
      <c r="RDD152" s="225"/>
      <c r="RDE152" s="220"/>
      <c r="RDF152" s="221"/>
      <c r="RDG152" s="222"/>
      <c r="RDH152" s="222"/>
      <c r="RDI152" s="223"/>
      <c r="RDJ152" s="223"/>
      <c r="RDK152" s="224"/>
      <c r="RDL152" s="223"/>
      <c r="RDM152" s="223"/>
      <c r="RDN152" s="223"/>
      <c r="RDO152" s="223"/>
      <c r="RDP152" s="225"/>
      <c r="RDQ152" s="220"/>
      <c r="RDR152" s="221"/>
      <c r="RDS152" s="222"/>
      <c r="RDT152" s="222"/>
      <c r="RDU152" s="223"/>
      <c r="RDV152" s="223"/>
      <c r="RDW152" s="224"/>
      <c r="RDX152" s="223"/>
      <c r="RDY152" s="223"/>
      <c r="RDZ152" s="223"/>
      <c r="REA152" s="223"/>
      <c r="REB152" s="225"/>
      <c r="REC152" s="220"/>
      <c r="RED152" s="221"/>
      <c r="REE152" s="222"/>
      <c r="REF152" s="222"/>
      <c r="REG152" s="223"/>
      <c r="REH152" s="223"/>
      <c r="REI152" s="224"/>
      <c r="REJ152" s="223"/>
      <c r="REK152" s="223"/>
      <c r="REL152" s="223"/>
      <c r="REM152" s="223"/>
      <c r="REN152" s="225"/>
      <c r="REO152" s="220"/>
      <c r="REP152" s="221"/>
      <c r="REQ152" s="222"/>
      <c r="RER152" s="222"/>
      <c r="RES152" s="223"/>
      <c r="RET152" s="223"/>
      <c r="REU152" s="224"/>
      <c r="REV152" s="223"/>
      <c r="REW152" s="223"/>
      <c r="REX152" s="223"/>
      <c r="REY152" s="223"/>
      <c r="REZ152" s="225"/>
      <c r="RFA152" s="220"/>
      <c r="RFB152" s="221"/>
      <c r="RFC152" s="222"/>
      <c r="RFD152" s="222"/>
      <c r="RFE152" s="223"/>
      <c r="RFF152" s="223"/>
      <c r="RFG152" s="224"/>
      <c r="RFH152" s="223"/>
      <c r="RFI152" s="223"/>
      <c r="RFJ152" s="223"/>
      <c r="RFK152" s="223"/>
      <c r="RFL152" s="225"/>
      <c r="RFM152" s="220"/>
      <c r="RFN152" s="221"/>
      <c r="RFO152" s="222"/>
      <c r="RFP152" s="222"/>
      <c r="RFQ152" s="223"/>
      <c r="RFR152" s="223"/>
      <c r="RFS152" s="224"/>
      <c r="RFT152" s="223"/>
      <c r="RFU152" s="223"/>
      <c r="RFV152" s="223"/>
      <c r="RFW152" s="223"/>
      <c r="RFX152" s="225"/>
      <c r="RFY152" s="220"/>
      <c r="RFZ152" s="221"/>
      <c r="RGA152" s="222"/>
      <c r="RGB152" s="222"/>
      <c r="RGC152" s="223"/>
      <c r="RGD152" s="223"/>
      <c r="RGE152" s="224"/>
      <c r="RGF152" s="223"/>
      <c r="RGG152" s="223"/>
      <c r="RGH152" s="223"/>
      <c r="RGI152" s="223"/>
      <c r="RGJ152" s="225"/>
      <c r="RGK152" s="220"/>
      <c r="RGL152" s="221"/>
      <c r="RGM152" s="222"/>
      <c r="RGN152" s="222"/>
      <c r="RGO152" s="223"/>
      <c r="RGP152" s="223"/>
      <c r="RGQ152" s="224"/>
      <c r="RGR152" s="223"/>
      <c r="RGS152" s="223"/>
      <c r="RGT152" s="223"/>
      <c r="RGU152" s="223"/>
      <c r="RGV152" s="225"/>
      <c r="RGW152" s="220"/>
      <c r="RGX152" s="221"/>
      <c r="RGY152" s="222"/>
      <c r="RGZ152" s="222"/>
      <c r="RHA152" s="223"/>
      <c r="RHB152" s="223"/>
      <c r="RHC152" s="224"/>
      <c r="RHD152" s="223"/>
      <c r="RHE152" s="223"/>
      <c r="RHF152" s="223"/>
      <c r="RHG152" s="223"/>
      <c r="RHH152" s="225"/>
      <c r="RHI152" s="220"/>
      <c r="RHJ152" s="221"/>
      <c r="RHK152" s="222"/>
      <c r="RHL152" s="222"/>
      <c r="RHM152" s="223"/>
      <c r="RHN152" s="223"/>
      <c r="RHO152" s="224"/>
      <c r="RHP152" s="223"/>
      <c r="RHQ152" s="223"/>
      <c r="RHR152" s="223"/>
      <c r="RHS152" s="223"/>
      <c r="RHT152" s="225"/>
      <c r="RHU152" s="220"/>
      <c r="RHV152" s="221"/>
      <c r="RHW152" s="222"/>
      <c r="RHX152" s="222"/>
      <c r="RHY152" s="223"/>
      <c r="RHZ152" s="223"/>
      <c r="RIA152" s="224"/>
      <c r="RIB152" s="223"/>
      <c r="RIC152" s="223"/>
      <c r="RID152" s="223"/>
      <c r="RIE152" s="223"/>
      <c r="RIF152" s="225"/>
      <c r="RIG152" s="220"/>
      <c r="RIH152" s="221"/>
      <c r="RII152" s="222"/>
      <c r="RIJ152" s="222"/>
      <c r="RIK152" s="223"/>
      <c r="RIL152" s="223"/>
      <c r="RIM152" s="224"/>
      <c r="RIN152" s="223"/>
      <c r="RIO152" s="223"/>
      <c r="RIP152" s="223"/>
      <c r="RIQ152" s="223"/>
      <c r="RIR152" s="225"/>
      <c r="RIS152" s="220"/>
      <c r="RIT152" s="221"/>
      <c r="RIU152" s="222"/>
      <c r="RIV152" s="222"/>
      <c r="RIW152" s="223"/>
      <c r="RIX152" s="223"/>
      <c r="RIY152" s="224"/>
      <c r="RIZ152" s="223"/>
      <c r="RJA152" s="223"/>
      <c r="RJB152" s="223"/>
      <c r="RJC152" s="223"/>
      <c r="RJD152" s="225"/>
      <c r="RJE152" s="220"/>
      <c r="RJF152" s="221"/>
      <c r="RJG152" s="222"/>
      <c r="RJH152" s="222"/>
      <c r="RJI152" s="223"/>
      <c r="RJJ152" s="223"/>
      <c r="RJK152" s="224"/>
      <c r="RJL152" s="223"/>
      <c r="RJM152" s="223"/>
      <c r="RJN152" s="223"/>
      <c r="RJO152" s="223"/>
      <c r="RJP152" s="225"/>
      <c r="RJQ152" s="220"/>
      <c r="RJR152" s="221"/>
      <c r="RJS152" s="222"/>
      <c r="RJT152" s="222"/>
      <c r="RJU152" s="223"/>
      <c r="RJV152" s="223"/>
      <c r="RJW152" s="224"/>
      <c r="RJX152" s="223"/>
      <c r="RJY152" s="223"/>
      <c r="RJZ152" s="223"/>
      <c r="RKA152" s="223"/>
      <c r="RKB152" s="225"/>
      <c r="RKC152" s="220"/>
      <c r="RKD152" s="221"/>
      <c r="RKE152" s="222"/>
      <c r="RKF152" s="222"/>
      <c r="RKG152" s="223"/>
      <c r="RKH152" s="223"/>
      <c r="RKI152" s="224"/>
      <c r="RKJ152" s="223"/>
      <c r="RKK152" s="223"/>
      <c r="RKL152" s="223"/>
      <c r="RKM152" s="223"/>
      <c r="RKN152" s="225"/>
      <c r="RKO152" s="220"/>
      <c r="RKP152" s="221"/>
      <c r="RKQ152" s="222"/>
      <c r="RKR152" s="222"/>
      <c r="RKS152" s="223"/>
      <c r="RKT152" s="223"/>
      <c r="RKU152" s="224"/>
      <c r="RKV152" s="223"/>
      <c r="RKW152" s="223"/>
      <c r="RKX152" s="223"/>
      <c r="RKY152" s="223"/>
      <c r="RKZ152" s="225"/>
      <c r="RLA152" s="220"/>
      <c r="RLB152" s="221"/>
      <c r="RLC152" s="222"/>
      <c r="RLD152" s="222"/>
      <c r="RLE152" s="223"/>
      <c r="RLF152" s="223"/>
      <c r="RLG152" s="224"/>
      <c r="RLH152" s="223"/>
      <c r="RLI152" s="223"/>
      <c r="RLJ152" s="223"/>
      <c r="RLK152" s="223"/>
      <c r="RLL152" s="225"/>
      <c r="RLM152" s="220"/>
      <c r="RLN152" s="221"/>
      <c r="RLO152" s="222"/>
      <c r="RLP152" s="222"/>
      <c r="RLQ152" s="223"/>
      <c r="RLR152" s="223"/>
      <c r="RLS152" s="224"/>
      <c r="RLT152" s="223"/>
      <c r="RLU152" s="223"/>
      <c r="RLV152" s="223"/>
      <c r="RLW152" s="223"/>
      <c r="RLX152" s="225"/>
      <c r="RLY152" s="220"/>
      <c r="RLZ152" s="221"/>
      <c r="RMA152" s="222"/>
      <c r="RMB152" s="222"/>
      <c r="RMC152" s="223"/>
      <c r="RMD152" s="223"/>
      <c r="RME152" s="224"/>
      <c r="RMF152" s="223"/>
      <c r="RMG152" s="223"/>
      <c r="RMH152" s="223"/>
      <c r="RMI152" s="223"/>
      <c r="RMJ152" s="225"/>
      <c r="RMK152" s="220"/>
      <c r="RML152" s="221"/>
      <c r="RMM152" s="222"/>
      <c r="RMN152" s="222"/>
      <c r="RMO152" s="223"/>
      <c r="RMP152" s="223"/>
      <c r="RMQ152" s="224"/>
      <c r="RMR152" s="223"/>
      <c r="RMS152" s="223"/>
      <c r="RMT152" s="223"/>
      <c r="RMU152" s="223"/>
      <c r="RMV152" s="225"/>
      <c r="RMW152" s="220"/>
      <c r="RMX152" s="221"/>
      <c r="RMY152" s="222"/>
      <c r="RMZ152" s="222"/>
      <c r="RNA152" s="223"/>
      <c r="RNB152" s="223"/>
      <c r="RNC152" s="224"/>
      <c r="RND152" s="223"/>
      <c r="RNE152" s="223"/>
      <c r="RNF152" s="223"/>
      <c r="RNG152" s="223"/>
      <c r="RNH152" s="225"/>
      <c r="RNI152" s="220"/>
      <c r="RNJ152" s="221"/>
      <c r="RNK152" s="222"/>
      <c r="RNL152" s="222"/>
      <c r="RNM152" s="223"/>
      <c r="RNN152" s="223"/>
      <c r="RNO152" s="224"/>
      <c r="RNP152" s="223"/>
      <c r="RNQ152" s="223"/>
      <c r="RNR152" s="223"/>
      <c r="RNS152" s="223"/>
      <c r="RNT152" s="225"/>
      <c r="RNU152" s="220"/>
      <c r="RNV152" s="221"/>
      <c r="RNW152" s="222"/>
      <c r="RNX152" s="222"/>
      <c r="RNY152" s="223"/>
      <c r="RNZ152" s="223"/>
      <c r="ROA152" s="224"/>
      <c r="ROB152" s="223"/>
      <c r="ROC152" s="223"/>
      <c r="ROD152" s="223"/>
      <c r="ROE152" s="223"/>
      <c r="ROF152" s="225"/>
      <c r="ROG152" s="220"/>
      <c r="ROH152" s="221"/>
      <c r="ROI152" s="222"/>
      <c r="ROJ152" s="222"/>
      <c r="ROK152" s="223"/>
      <c r="ROL152" s="223"/>
      <c r="ROM152" s="224"/>
      <c r="RON152" s="223"/>
      <c r="ROO152" s="223"/>
      <c r="ROP152" s="223"/>
      <c r="ROQ152" s="223"/>
      <c r="ROR152" s="225"/>
      <c r="ROS152" s="220"/>
      <c r="ROT152" s="221"/>
      <c r="ROU152" s="222"/>
      <c r="ROV152" s="222"/>
      <c r="ROW152" s="223"/>
      <c r="ROX152" s="223"/>
      <c r="ROY152" s="224"/>
      <c r="ROZ152" s="223"/>
      <c r="RPA152" s="223"/>
      <c r="RPB152" s="223"/>
      <c r="RPC152" s="223"/>
      <c r="RPD152" s="225"/>
      <c r="RPE152" s="220"/>
      <c r="RPF152" s="221"/>
      <c r="RPG152" s="222"/>
      <c r="RPH152" s="222"/>
      <c r="RPI152" s="223"/>
      <c r="RPJ152" s="223"/>
      <c r="RPK152" s="224"/>
      <c r="RPL152" s="223"/>
      <c r="RPM152" s="223"/>
      <c r="RPN152" s="223"/>
      <c r="RPO152" s="223"/>
      <c r="RPP152" s="225"/>
      <c r="RPQ152" s="220"/>
      <c r="RPR152" s="221"/>
      <c r="RPS152" s="222"/>
      <c r="RPT152" s="222"/>
      <c r="RPU152" s="223"/>
      <c r="RPV152" s="223"/>
      <c r="RPW152" s="224"/>
      <c r="RPX152" s="223"/>
      <c r="RPY152" s="223"/>
      <c r="RPZ152" s="223"/>
      <c r="RQA152" s="223"/>
      <c r="RQB152" s="225"/>
      <c r="RQC152" s="220"/>
      <c r="RQD152" s="221"/>
      <c r="RQE152" s="222"/>
      <c r="RQF152" s="222"/>
      <c r="RQG152" s="223"/>
      <c r="RQH152" s="223"/>
      <c r="RQI152" s="224"/>
      <c r="RQJ152" s="223"/>
      <c r="RQK152" s="223"/>
      <c r="RQL152" s="223"/>
      <c r="RQM152" s="223"/>
      <c r="RQN152" s="225"/>
      <c r="RQO152" s="220"/>
      <c r="RQP152" s="221"/>
      <c r="RQQ152" s="222"/>
      <c r="RQR152" s="222"/>
      <c r="RQS152" s="223"/>
      <c r="RQT152" s="223"/>
      <c r="RQU152" s="224"/>
      <c r="RQV152" s="223"/>
      <c r="RQW152" s="223"/>
      <c r="RQX152" s="223"/>
      <c r="RQY152" s="223"/>
      <c r="RQZ152" s="225"/>
      <c r="RRA152" s="220"/>
      <c r="RRB152" s="221"/>
      <c r="RRC152" s="222"/>
      <c r="RRD152" s="222"/>
      <c r="RRE152" s="223"/>
      <c r="RRF152" s="223"/>
      <c r="RRG152" s="224"/>
      <c r="RRH152" s="223"/>
      <c r="RRI152" s="223"/>
      <c r="RRJ152" s="223"/>
      <c r="RRK152" s="223"/>
      <c r="RRL152" s="225"/>
      <c r="RRM152" s="220"/>
      <c r="RRN152" s="221"/>
      <c r="RRO152" s="222"/>
      <c r="RRP152" s="222"/>
      <c r="RRQ152" s="223"/>
      <c r="RRR152" s="223"/>
      <c r="RRS152" s="224"/>
      <c r="RRT152" s="223"/>
      <c r="RRU152" s="223"/>
      <c r="RRV152" s="223"/>
      <c r="RRW152" s="223"/>
      <c r="RRX152" s="225"/>
      <c r="RRY152" s="220"/>
      <c r="RRZ152" s="221"/>
      <c r="RSA152" s="222"/>
      <c r="RSB152" s="222"/>
      <c r="RSC152" s="223"/>
      <c r="RSD152" s="223"/>
      <c r="RSE152" s="224"/>
      <c r="RSF152" s="223"/>
      <c r="RSG152" s="223"/>
      <c r="RSH152" s="223"/>
      <c r="RSI152" s="223"/>
      <c r="RSJ152" s="225"/>
      <c r="RSK152" s="220"/>
      <c r="RSL152" s="221"/>
      <c r="RSM152" s="222"/>
      <c r="RSN152" s="222"/>
      <c r="RSO152" s="223"/>
      <c r="RSP152" s="223"/>
      <c r="RSQ152" s="224"/>
      <c r="RSR152" s="223"/>
      <c r="RSS152" s="223"/>
      <c r="RST152" s="223"/>
      <c r="RSU152" s="223"/>
      <c r="RSV152" s="225"/>
      <c r="RSW152" s="220"/>
      <c r="RSX152" s="221"/>
      <c r="RSY152" s="222"/>
      <c r="RSZ152" s="222"/>
      <c r="RTA152" s="223"/>
      <c r="RTB152" s="223"/>
      <c r="RTC152" s="224"/>
      <c r="RTD152" s="223"/>
      <c r="RTE152" s="223"/>
      <c r="RTF152" s="223"/>
      <c r="RTG152" s="223"/>
      <c r="RTH152" s="225"/>
      <c r="RTI152" s="220"/>
      <c r="RTJ152" s="221"/>
      <c r="RTK152" s="222"/>
      <c r="RTL152" s="222"/>
      <c r="RTM152" s="223"/>
      <c r="RTN152" s="223"/>
      <c r="RTO152" s="224"/>
      <c r="RTP152" s="223"/>
      <c r="RTQ152" s="223"/>
      <c r="RTR152" s="223"/>
      <c r="RTS152" s="223"/>
      <c r="RTT152" s="225"/>
      <c r="RTU152" s="220"/>
      <c r="RTV152" s="221"/>
      <c r="RTW152" s="222"/>
      <c r="RTX152" s="222"/>
      <c r="RTY152" s="223"/>
      <c r="RTZ152" s="223"/>
      <c r="RUA152" s="224"/>
      <c r="RUB152" s="223"/>
      <c r="RUC152" s="223"/>
      <c r="RUD152" s="223"/>
      <c r="RUE152" s="223"/>
      <c r="RUF152" s="225"/>
      <c r="RUG152" s="220"/>
      <c r="RUH152" s="221"/>
      <c r="RUI152" s="222"/>
      <c r="RUJ152" s="222"/>
      <c r="RUK152" s="223"/>
      <c r="RUL152" s="223"/>
      <c r="RUM152" s="224"/>
      <c r="RUN152" s="223"/>
      <c r="RUO152" s="223"/>
      <c r="RUP152" s="223"/>
      <c r="RUQ152" s="223"/>
      <c r="RUR152" s="225"/>
      <c r="RUS152" s="220"/>
      <c r="RUT152" s="221"/>
      <c r="RUU152" s="222"/>
      <c r="RUV152" s="222"/>
      <c r="RUW152" s="223"/>
      <c r="RUX152" s="223"/>
      <c r="RUY152" s="224"/>
      <c r="RUZ152" s="223"/>
      <c r="RVA152" s="223"/>
      <c r="RVB152" s="223"/>
      <c r="RVC152" s="223"/>
      <c r="RVD152" s="225"/>
      <c r="RVE152" s="220"/>
      <c r="RVF152" s="221"/>
      <c r="RVG152" s="222"/>
      <c r="RVH152" s="222"/>
      <c r="RVI152" s="223"/>
      <c r="RVJ152" s="223"/>
      <c r="RVK152" s="224"/>
      <c r="RVL152" s="223"/>
      <c r="RVM152" s="223"/>
      <c r="RVN152" s="223"/>
      <c r="RVO152" s="223"/>
      <c r="RVP152" s="225"/>
      <c r="RVQ152" s="220"/>
      <c r="RVR152" s="221"/>
      <c r="RVS152" s="222"/>
      <c r="RVT152" s="222"/>
      <c r="RVU152" s="223"/>
      <c r="RVV152" s="223"/>
      <c r="RVW152" s="224"/>
      <c r="RVX152" s="223"/>
      <c r="RVY152" s="223"/>
      <c r="RVZ152" s="223"/>
      <c r="RWA152" s="223"/>
      <c r="RWB152" s="225"/>
      <c r="RWC152" s="220"/>
      <c r="RWD152" s="221"/>
      <c r="RWE152" s="222"/>
      <c r="RWF152" s="222"/>
      <c r="RWG152" s="223"/>
      <c r="RWH152" s="223"/>
      <c r="RWI152" s="224"/>
      <c r="RWJ152" s="223"/>
      <c r="RWK152" s="223"/>
      <c r="RWL152" s="223"/>
      <c r="RWM152" s="223"/>
      <c r="RWN152" s="225"/>
      <c r="RWO152" s="220"/>
      <c r="RWP152" s="221"/>
      <c r="RWQ152" s="222"/>
      <c r="RWR152" s="222"/>
      <c r="RWS152" s="223"/>
      <c r="RWT152" s="223"/>
      <c r="RWU152" s="224"/>
      <c r="RWV152" s="223"/>
      <c r="RWW152" s="223"/>
      <c r="RWX152" s="223"/>
      <c r="RWY152" s="223"/>
      <c r="RWZ152" s="225"/>
      <c r="RXA152" s="220"/>
      <c r="RXB152" s="221"/>
      <c r="RXC152" s="222"/>
      <c r="RXD152" s="222"/>
      <c r="RXE152" s="223"/>
      <c r="RXF152" s="223"/>
      <c r="RXG152" s="224"/>
      <c r="RXH152" s="223"/>
      <c r="RXI152" s="223"/>
      <c r="RXJ152" s="223"/>
      <c r="RXK152" s="223"/>
      <c r="RXL152" s="225"/>
      <c r="RXM152" s="220"/>
      <c r="RXN152" s="221"/>
      <c r="RXO152" s="222"/>
      <c r="RXP152" s="222"/>
      <c r="RXQ152" s="223"/>
      <c r="RXR152" s="223"/>
      <c r="RXS152" s="224"/>
      <c r="RXT152" s="223"/>
      <c r="RXU152" s="223"/>
      <c r="RXV152" s="223"/>
      <c r="RXW152" s="223"/>
      <c r="RXX152" s="225"/>
      <c r="RXY152" s="220"/>
      <c r="RXZ152" s="221"/>
      <c r="RYA152" s="222"/>
      <c r="RYB152" s="222"/>
      <c r="RYC152" s="223"/>
      <c r="RYD152" s="223"/>
      <c r="RYE152" s="224"/>
      <c r="RYF152" s="223"/>
      <c r="RYG152" s="223"/>
      <c r="RYH152" s="223"/>
      <c r="RYI152" s="223"/>
      <c r="RYJ152" s="225"/>
      <c r="RYK152" s="220"/>
      <c r="RYL152" s="221"/>
      <c r="RYM152" s="222"/>
      <c r="RYN152" s="222"/>
      <c r="RYO152" s="223"/>
      <c r="RYP152" s="223"/>
      <c r="RYQ152" s="224"/>
      <c r="RYR152" s="223"/>
      <c r="RYS152" s="223"/>
      <c r="RYT152" s="223"/>
      <c r="RYU152" s="223"/>
      <c r="RYV152" s="225"/>
      <c r="RYW152" s="220"/>
      <c r="RYX152" s="221"/>
      <c r="RYY152" s="222"/>
      <c r="RYZ152" s="222"/>
      <c r="RZA152" s="223"/>
      <c r="RZB152" s="223"/>
      <c r="RZC152" s="224"/>
      <c r="RZD152" s="223"/>
      <c r="RZE152" s="223"/>
      <c r="RZF152" s="223"/>
      <c r="RZG152" s="223"/>
      <c r="RZH152" s="225"/>
      <c r="RZI152" s="220"/>
      <c r="RZJ152" s="221"/>
      <c r="RZK152" s="222"/>
      <c r="RZL152" s="222"/>
      <c r="RZM152" s="223"/>
      <c r="RZN152" s="223"/>
      <c r="RZO152" s="224"/>
      <c r="RZP152" s="223"/>
      <c r="RZQ152" s="223"/>
      <c r="RZR152" s="223"/>
      <c r="RZS152" s="223"/>
      <c r="RZT152" s="225"/>
      <c r="RZU152" s="220"/>
      <c r="RZV152" s="221"/>
      <c r="RZW152" s="222"/>
      <c r="RZX152" s="222"/>
      <c r="RZY152" s="223"/>
      <c r="RZZ152" s="223"/>
      <c r="SAA152" s="224"/>
      <c r="SAB152" s="223"/>
      <c r="SAC152" s="223"/>
      <c r="SAD152" s="223"/>
      <c r="SAE152" s="223"/>
      <c r="SAF152" s="225"/>
      <c r="SAG152" s="220"/>
      <c r="SAH152" s="221"/>
      <c r="SAI152" s="222"/>
      <c r="SAJ152" s="222"/>
      <c r="SAK152" s="223"/>
      <c r="SAL152" s="223"/>
      <c r="SAM152" s="224"/>
      <c r="SAN152" s="223"/>
      <c r="SAO152" s="223"/>
      <c r="SAP152" s="223"/>
      <c r="SAQ152" s="223"/>
      <c r="SAR152" s="225"/>
      <c r="SAS152" s="220"/>
      <c r="SAT152" s="221"/>
      <c r="SAU152" s="222"/>
      <c r="SAV152" s="222"/>
      <c r="SAW152" s="223"/>
      <c r="SAX152" s="223"/>
      <c r="SAY152" s="224"/>
      <c r="SAZ152" s="223"/>
      <c r="SBA152" s="223"/>
      <c r="SBB152" s="223"/>
      <c r="SBC152" s="223"/>
      <c r="SBD152" s="225"/>
      <c r="SBE152" s="220"/>
      <c r="SBF152" s="221"/>
      <c r="SBG152" s="222"/>
      <c r="SBH152" s="222"/>
      <c r="SBI152" s="223"/>
      <c r="SBJ152" s="223"/>
      <c r="SBK152" s="224"/>
      <c r="SBL152" s="223"/>
      <c r="SBM152" s="223"/>
      <c r="SBN152" s="223"/>
      <c r="SBO152" s="223"/>
      <c r="SBP152" s="225"/>
      <c r="SBQ152" s="220"/>
      <c r="SBR152" s="221"/>
      <c r="SBS152" s="222"/>
      <c r="SBT152" s="222"/>
      <c r="SBU152" s="223"/>
      <c r="SBV152" s="223"/>
      <c r="SBW152" s="224"/>
      <c r="SBX152" s="223"/>
      <c r="SBY152" s="223"/>
      <c r="SBZ152" s="223"/>
      <c r="SCA152" s="223"/>
      <c r="SCB152" s="225"/>
      <c r="SCC152" s="220"/>
      <c r="SCD152" s="221"/>
      <c r="SCE152" s="222"/>
      <c r="SCF152" s="222"/>
      <c r="SCG152" s="223"/>
      <c r="SCH152" s="223"/>
      <c r="SCI152" s="224"/>
      <c r="SCJ152" s="223"/>
      <c r="SCK152" s="223"/>
      <c r="SCL152" s="223"/>
      <c r="SCM152" s="223"/>
      <c r="SCN152" s="225"/>
      <c r="SCO152" s="220"/>
      <c r="SCP152" s="221"/>
      <c r="SCQ152" s="222"/>
      <c r="SCR152" s="222"/>
      <c r="SCS152" s="223"/>
      <c r="SCT152" s="223"/>
      <c r="SCU152" s="224"/>
      <c r="SCV152" s="223"/>
      <c r="SCW152" s="223"/>
      <c r="SCX152" s="223"/>
      <c r="SCY152" s="223"/>
      <c r="SCZ152" s="225"/>
      <c r="SDA152" s="220"/>
      <c r="SDB152" s="221"/>
      <c r="SDC152" s="222"/>
      <c r="SDD152" s="222"/>
      <c r="SDE152" s="223"/>
      <c r="SDF152" s="223"/>
      <c r="SDG152" s="224"/>
      <c r="SDH152" s="223"/>
      <c r="SDI152" s="223"/>
      <c r="SDJ152" s="223"/>
      <c r="SDK152" s="223"/>
      <c r="SDL152" s="225"/>
      <c r="SDM152" s="220"/>
      <c r="SDN152" s="221"/>
      <c r="SDO152" s="222"/>
      <c r="SDP152" s="222"/>
      <c r="SDQ152" s="223"/>
      <c r="SDR152" s="223"/>
      <c r="SDS152" s="224"/>
      <c r="SDT152" s="223"/>
      <c r="SDU152" s="223"/>
      <c r="SDV152" s="223"/>
      <c r="SDW152" s="223"/>
      <c r="SDX152" s="225"/>
      <c r="SDY152" s="220"/>
      <c r="SDZ152" s="221"/>
      <c r="SEA152" s="222"/>
      <c r="SEB152" s="222"/>
      <c r="SEC152" s="223"/>
      <c r="SED152" s="223"/>
      <c r="SEE152" s="224"/>
      <c r="SEF152" s="223"/>
      <c r="SEG152" s="223"/>
      <c r="SEH152" s="223"/>
      <c r="SEI152" s="223"/>
      <c r="SEJ152" s="225"/>
      <c r="SEK152" s="220"/>
      <c r="SEL152" s="221"/>
      <c r="SEM152" s="222"/>
      <c r="SEN152" s="222"/>
      <c r="SEO152" s="223"/>
      <c r="SEP152" s="223"/>
      <c r="SEQ152" s="224"/>
      <c r="SER152" s="223"/>
      <c r="SES152" s="223"/>
      <c r="SET152" s="223"/>
      <c r="SEU152" s="223"/>
      <c r="SEV152" s="225"/>
      <c r="SEW152" s="220"/>
      <c r="SEX152" s="221"/>
      <c r="SEY152" s="222"/>
      <c r="SEZ152" s="222"/>
      <c r="SFA152" s="223"/>
      <c r="SFB152" s="223"/>
      <c r="SFC152" s="224"/>
      <c r="SFD152" s="223"/>
      <c r="SFE152" s="223"/>
      <c r="SFF152" s="223"/>
      <c r="SFG152" s="223"/>
      <c r="SFH152" s="225"/>
      <c r="SFI152" s="220"/>
      <c r="SFJ152" s="221"/>
      <c r="SFK152" s="222"/>
      <c r="SFL152" s="222"/>
      <c r="SFM152" s="223"/>
      <c r="SFN152" s="223"/>
      <c r="SFO152" s="224"/>
      <c r="SFP152" s="223"/>
      <c r="SFQ152" s="223"/>
      <c r="SFR152" s="223"/>
      <c r="SFS152" s="223"/>
      <c r="SFT152" s="225"/>
      <c r="SFU152" s="220"/>
      <c r="SFV152" s="221"/>
      <c r="SFW152" s="222"/>
      <c r="SFX152" s="222"/>
      <c r="SFY152" s="223"/>
      <c r="SFZ152" s="223"/>
      <c r="SGA152" s="224"/>
      <c r="SGB152" s="223"/>
      <c r="SGC152" s="223"/>
      <c r="SGD152" s="223"/>
      <c r="SGE152" s="223"/>
      <c r="SGF152" s="225"/>
      <c r="SGG152" s="220"/>
      <c r="SGH152" s="221"/>
      <c r="SGI152" s="222"/>
      <c r="SGJ152" s="222"/>
      <c r="SGK152" s="223"/>
      <c r="SGL152" s="223"/>
      <c r="SGM152" s="224"/>
      <c r="SGN152" s="223"/>
      <c r="SGO152" s="223"/>
      <c r="SGP152" s="223"/>
      <c r="SGQ152" s="223"/>
      <c r="SGR152" s="225"/>
      <c r="SGS152" s="220"/>
      <c r="SGT152" s="221"/>
      <c r="SGU152" s="222"/>
      <c r="SGV152" s="222"/>
      <c r="SGW152" s="223"/>
      <c r="SGX152" s="223"/>
      <c r="SGY152" s="224"/>
      <c r="SGZ152" s="223"/>
      <c r="SHA152" s="223"/>
      <c r="SHB152" s="223"/>
      <c r="SHC152" s="223"/>
      <c r="SHD152" s="225"/>
      <c r="SHE152" s="220"/>
      <c r="SHF152" s="221"/>
      <c r="SHG152" s="222"/>
      <c r="SHH152" s="222"/>
      <c r="SHI152" s="223"/>
      <c r="SHJ152" s="223"/>
      <c r="SHK152" s="224"/>
      <c r="SHL152" s="223"/>
      <c r="SHM152" s="223"/>
      <c r="SHN152" s="223"/>
      <c r="SHO152" s="223"/>
      <c r="SHP152" s="225"/>
      <c r="SHQ152" s="220"/>
      <c r="SHR152" s="221"/>
      <c r="SHS152" s="222"/>
      <c r="SHT152" s="222"/>
      <c r="SHU152" s="223"/>
      <c r="SHV152" s="223"/>
      <c r="SHW152" s="224"/>
      <c r="SHX152" s="223"/>
      <c r="SHY152" s="223"/>
      <c r="SHZ152" s="223"/>
      <c r="SIA152" s="223"/>
      <c r="SIB152" s="225"/>
      <c r="SIC152" s="220"/>
      <c r="SID152" s="221"/>
      <c r="SIE152" s="222"/>
      <c r="SIF152" s="222"/>
      <c r="SIG152" s="223"/>
      <c r="SIH152" s="223"/>
      <c r="SII152" s="224"/>
      <c r="SIJ152" s="223"/>
      <c r="SIK152" s="223"/>
      <c r="SIL152" s="223"/>
      <c r="SIM152" s="223"/>
      <c r="SIN152" s="225"/>
      <c r="SIO152" s="220"/>
      <c r="SIP152" s="221"/>
      <c r="SIQ152" s="222"/>
      <c r="SIR152" s="222"/>
      <c r="SIS152" s="223"/>
      <c r="SIT152" s="223"/>
      <c r="SIU152" s="224"/>
      <c r="SIV152" s="223"/>
      <c r="SIW152" s="223"/>
      <c r="SIX152" s="223"/>
      <c r="SIY152" s="223"/>
      <c r="SIZ152" s="225"/>
      <c r="SJA152" s="220"/>
      <c r="SJB152" s="221"/>
      <c r="SJC152" s="222"/>
      <c r="SJD152" s="222"/>
      <c r="SJE152" s="223"/>
      <c r="SJF152" s="223"/>
      <c r="SJG152" s="224"/>
      <c r="SJH152" s="223"/>
      <c r="SJI152" s="223"/>
      <c r="SJJ152" s="223"/>
      <c r="SJK152" s="223"/>
      <c r="SJL152" s="225"/>
      <c r="SJM152" s="220"/>
      <c r="SJN152" s="221"/>
      <c r="SJO152" s="222"/>
      <c r="SJP152" s="222"/>
      <c r="SJQ152" s="223"/>
      <c r="SJR152" s="223"/>
      <c r="SJS152" s="224"/>
      <c r="SJT152" s="223"/>
      <c r="SJU152" s="223"/>
      <c r="SJV152" s="223"/>
      <c r="SJW152" s="223"/>
      <c r="SJX152" s="225"/>
      <c r="SJY152" s="220"/>
      <c r="SJZ152" s="221"/>
      <c r="SKA152" s="222"/>
      <c r="SKB152" s="222"/>
      <c r="SKC152" s="223"/>
      <c r="SKD152" s="223"/>
      <c r="SKE152" s="224"/>
      <c r="SKF152" s="223"/>
      <c r="SKG152" s="223"/>
      <c r="SKH152" s="223"/>
      <c r="SKI152" s="223"/>
      <c r="SKJ152" s="225"/>
      <c r="SKK152" s="220"/>
      <c r="SKL152" s="221"/>
      <c r="SKM152" s="222"/>
      <c r="SKN152" s="222"/>
      <c r="SKO152" s="223"/>
      <c r="SKP152" s="223"/>
      <c r="SKQ152" s="224"/>
      <c r="SKR152" s="223"/>
      <c r="SKS152" s="223"/>
      <c r="SKT152" s="223"/>
      <c r="SKU152" s="223"/>
      <c r="SKV152" s="225"/>
      <c r="SKW152" s="220"/>
      <c r="SKX152" s="221"/>
      <c r="SKY152" s="222"/>
      <c r="SKZ152" s="222"/>
      <c r="SLA152" s="223"/>
      <c r="SLB152" s="223"/>
      <c r="SLC152" s="224"/>
      <c r="SLD152" s="223"/>
      <c r="SLE152" s="223"/>
      <c r="SLF152" s="223"/>
      <c r="SLG152" s="223"/>
      <c r="SLH152" s="225"/>
      <c r="SLI152" s="220"/>
      <c r="SLJ152" s="221"/>
      <c r="SLK152" s="222"/>
      <c r="SLL152" s="222"/>
      <c r="SLM152" s="223"/>
      <c r="SLN152" s="223"/>
      <c r="SLO152" s="224"/>
      <c r="SLP152" s="223"/>
      <c r="SLQ152" s="223"/>
      <c r="SLR152" s="223"/>
      <c r="SLS152" s="223"/>
      <c r="SLT152" s="225"/>
      <c r="SLU152" s="220"/>
      <c r="SLV152" s="221"/>
      <c r="SLW152" s="222"/>
      <c r="SLX152" s="222"/>
      <c r="SLY152" s="223"/>
      <c r="SLZ152" s="223"/>
      <c r="SMA152" s="224"/>
      <c r="SMB152" s="223"/>
      <c r="SMC152" s="223"/>
      <c r="SMD152" s="223"/>
      <c r="SME152" s="223"/>
      <c r="SMF152" s="225"/>
      <c r="SMG152" s="220"/>
      <c r="SMH152" s="221"/>
      <c r="SMI152" s="222"/>
      <c r="SMJ152" s="222"/>
      <c r="SMK152" s="223"/>
      <c r="SML152" s="223"/>
      <c r="SMM152" s="224"/>
      <c r="SMN152" s="223"/>
      <c r="SMO152" s="223"/>
      <c r="SMP152" s="223"/>
      <c r="SMQ152" s="223"/>
      <c r="SMR152" s="225"/>
      <c r="SMS152" s="220"/>
      <c r="SMT152" s="221"/>
      <c r="SMU152" s="222"/>
      <c r="SMV152" s="222"/>
      <c r="SMW152" s="223"/>
      <c r="SMX152" s="223"/>
      <c r="SMY152" s="224"/>
      <c r="SMZ152" s="223"/>
      <c r="SNA152" s="223"/>
      <c r="SNB152" s="223"/>
      <c r="SNC152" s="223"/>
      <c r="SND152" s="225"/>
      <c r="SNE152" s="220"/>
      <c r="SNF152" s="221"/>
      <c r="SNG152" s="222"/>
      <c r="SNH152" s="222"/>
      <c r="SNI152" s="223"/>
      <c r="SNJ152" s="223"/>
      <c r="SNK152" s="224"/>
      <c r="SNL152" s="223"/>
      <c r="SNM152" s="223"/>
      <c r="SNN152" s="223"/>
      <c r="SNO152" s="223"/>
      <c r="SNP152" s="225"/>
      <c r="SNQ152" s="220"/>
      <c r="SNR152" s="221"/>
      <c r="SNS152" s="222"/>
      <c r="SNT152" s="222"/>
      <c r="SNU152" s="223"/>
      <c r="SNV152" s="223"/>
      <c r="SNW152" s="224"/>
      <c r="SNX152" s="223"/>
      <c r="SNY152" s="223"/>
      <c r="SNZ152" s="223"/>
      <c r="SOA152" s="223"/>
      <c r="SOB152" s="225"/>
      <c r="SOC152" s="220"/>
      <c r="SOD152" s="221"/>
      <c r="SOE152" s="222"/>
      <c r="SOF152" s="222"/>
      <c r="SOG152" s="223"/>
      <c r="SOH152" s="223"/>
      <c r="SOI152" s="224"/>
      <c r="SOJ152" s="223"/>
      <c r="SOK152" s="223"/>
      <c r="SOL152" s="223"/>
      <c r="SOM152" s="223"/>
      <c r="SON152" s="225"/>
      <c r="SOO152" s="220"/>
      <c r="SOP152" s="221"/>
      <c r="SOQ152" s="222"/>
      <c r="SOR152" s="222"/>
      <c r="SOS152" s="223"/>
      <c r="SOT152" s="223"/>
      <c r="SOU152" s="224"/>
      <c r="SOV152" s="223"/>
      <c r="SOW152" s="223"/>
      <c r="SOX152" s="223"/>
      <c r="SOY152" s="223"/>
      <c r="SOZ152" s="225"/>
      <c r="SPA152" s="220"/>
      <c r="SPB152" s="221"/>
      <c r="SPC152" s="222"/>
      <c r="SPD152" s="222"/>
      <c r="SPE152" s="223"/>
      <c r="SPF152" s="223"/>
      <c r="SPG152" s="224"/>
      <c r="SPH152" s="223"/>
      <c r="SPI152" s="223"/>
      <c r="SPJ152" s="223"/>
      <c r="SPK152" s="223"/>
      <c r="SPL152" s="225"/>
      <c r="SPM152" s="220"/>
      <c r="SPN152" s="221"/>
      <c r="SPO152" s="222"/>
      <c r="SPP152" s="222"/>
      <c r="SPQ152" s="223"/>
      <c r="SPR152" s="223"/>
      <c r="SPS152" s="224"/>
      <c r="SPT152" s="223"/>
      <c r="SPU152" s="223"/>
      <c r="SPV152" s="223"/>
      <c r="SPW152" s="223"/>
      <c r="SPX152" s="225"/>
      <c r="SPY152" s="220"/>
      <c r="SPZ152" s="221"/>
      <c r="SQA152" s="222"/>
      <c r="SQB152" s="222"/>
      <c r="SQC152" s="223"/>
      <c r="SQD152" s="223"/>
      <c r="SQE152" s="224"/>
      <c r="SQF152" s="223"/>
      <c r="SQG152" s="223"/>
      <c r="SQH152" s="223"/>
      <c r="SQI152" s="223"/>
      <c r="SQJ152" s="225"/>
      <c r="SQK152" s="220"/>
      <c r="SQL152" s="221"/>
      <c r="SQM152" s="222"/>
      <c r="SQN152" s="222"/>
      <c r="SQO152" s="223"/>
      <c r="SQP152" s="223"/>
      <c r="SQQ152" s="224"/>
      <c r="SQR152" s="223"/>
      <c r="SQS152" s="223"/>
      <c r="SQT152" s="223"/>
      <c r="SQU152" s="223"/>
      <c r="SQV152" s="225"/>
      <c r="SQW152" s="220"/>
      <c r="SQX152" s="221"/>
      <c r="SQY152" s="222"/>
      <c r="SQZ152" s="222"/>
      <c r="SRA152" s="223"/>
      <c r="SRB152" s="223"/>
      <c r="SRC152" s="224"/>
      <c r="SRD152" s="223"/>
      <c r="SRE152" s="223"/>
      <c r="SRF152" s="223"/>
      <c r="SRG152" s="223"/>
      <c r="SRH152" s="225"/>
      <c r="SRI152" s="220"/>
      <c r="SRJ152" s="221"/>
      <c r="SRK152" s="222"/>
      <c r="SRL152" s="222"/>
      <c r="SRM152" s="223"/>
      <c r="SRN152" s="223"/>
      <c r="SRO152" s="224"/>
      <c r="SRP152" s="223"/>
      <c r="SRQ152" s="223"/>
      <c r="SRR152" s="223"/>
      <c r="SRS152" s="223"/>
      <c r="SRT152" s="225"/>
      <c r="SRU152" s="220"/>
      <c r="SRV152" s="221"/>
      <c r="SRW152" s="222"/>
      <c r="SRX152" s="222"/>
      <c r="SRY152" s="223"/>
      <c r="SRZ152" s="223"/>
      <c r="SSA152" s="224"/>
      <c r="SSB152" s="223"/>
      <c r="SSC152" s="223"/>
      <c r="SSD152" s="223"/>
      <c r="SSE152" s="223"/>
      <c r="SSF152" s="225"/>
      <c r="SSG152" s="220"/>
      <c r="SSH152" s="221"/>
      <c r="SSI152" s="222"/>
      <c r="SSJ152" s="222"/>
      <c r="SSK152" s="223"/>
      <c r="SSL152" s="223"/>
      <c r="SSM152" s="224"/>
      <c r="SSN152" s="223"/>
      <c r="SSO152" s="223"/>
      <c r="SSP152" s="223"/>
      <c r="SSQ152" s="223"/>
      <c r="SSR152" s="225"/>
      <c r="SSS152" s="220"/>
      <c r="SST152" s="221"/>
      <c r="SSU152" s="222"/>
      <c r="SSV152" s="222"/>
      <c r="SSW152" s="223"/>
      <c r="SSX152" s="223"/>
      <c r="SSY152" s="224"/>
      <c r="SSZ152" s="223"/>
      <c r="STA152" s="223"/>
      <c r="STB152" s="223"/>
      <c r="STC152" s="223"/>
      <c r="STD152" s="225"/>
      <c r="STE152" s="220"/>
      <c r="STF152" s="221"/>
      <c r="STG152" s="222"/>
      <c r="STH152" s="222"/>
      <c r="STI152" s="223"/>
      <c r="STJ152" s="223"/>
      <c r="STK152" s="224"/>
      <c r="STL152" s="223"/>
      <c r="STM152" s="223"/>
      <c r="STN152" s="223"/>
      <c r="STO152" s="223"/>
      <c r="STP152" s="225"/>
      <c r="STQ152" s="220"/>
      <c r="STR152" s="221"/>
      <c r="STS152" s="222"/>
      <c r="STT152" s="222"/>
      <c r="STU152" s="223"/>
      <c r="STV152" s="223"/>
      <c r="STW152" s="224"/>
      <c r="STX152" s="223"/>
      <c r="STY152" s="223"/>
      <c r="STZ152" s="223"/>
      <c r="SUA152" s="223"/>
      <c r="SUB152" s="225"/>
      <c r="SUC152" s="220"/>
      <c r="SUD152" s="221"/>
      <c r="SUE152" s="222"/>
      <c r="SUF152" s="222"/>
      <c r="SUG152" s="223"/>
      <c r="SUH152" s="223"/>
      <c r="SUI152" s="224"/>
      <c r="SUJ152" s="223"/>
      <c r="SUK152" s="223"/>
      <c r="SUL152" s="223"/>
      <c r="SUM152" s="223"/>
      <c r="SUN152" s="225"/>
      <c r="SUO152" s="220"/>
      <c r="SUP152" s="221"/>
      <c r="SUQ152" s="222"/>
      <c r="SUR152" s="222"/>
      <c r="SUS152" s="223"/>
      <c r="SUT152" s="223"/>
      <c r="SUU152" s="224"/>
      <c r="SUV152" s="223"/>
      <c r="SUW152" s="223"/>
      <c r="SUX152" s="223"/>
      <c r="SUY152" s="223"/>
      <c r="SUZ152" s="225"/>
      <c r="SVA152" s="220"/>
      <c r="SVB152" s="221"/>
      <c r="SVC152" s="222"/>
      <c r="SVD152" s="222"/>
      <c r="SVE152" s="223"/>
      <c r="SVF152" s="223"/>
      <c r="SVG152" s="224"/>
      <c r="SVH152" s="223"/>
      <c r="SVI152" s="223"/>
      <c r="SVJ152" s="223"/>
      <c r="SVK152" s="223"/>
      <c r="SVL152" s="225"/>
      <c r="SVM152" s="220"/>
      <c r="SVN152" s="221"/>
      <c r="SVO152" s="222"/>
      <c r="SVP152" s="222"/>
      <c r="SVQ152" s="223"/>
      <c r="SVR152" s="223"/>
      <c r="SVS152" s="224"/>
      <c r="SVT152" s="223"/>
      <c r="SVU152" s="223"/>
      <c r="SVV152" s="223"/>
      <c r="SVW152" s="223"/>
      <c r="SVX152" s="225"/>
      <c r="SVY152" s="220"/>
      <c r="SVZ152" s="221"/>
      <c r="SWA152" s="222"/>
      <c r="SWB152" s="222"/>
      <c r="SWC152" s="223"/>
      <c r="SWD152" s="223"/>
      <c r="SWE152" s="224"/>
      <c r="SWF152" s="223"/>
      <c r="SWG152" s="223"/>
      <c r="SWH152" s="223"/>
      <c r="SWI152" s="223"/>
      <c r="SWJ152" s="225"/>
      <c r="SWK152" s="220"/>
      <c r="SWL152" s="221"/>
      <c r="SWM152" s="222"/>
      <c r="SWN152" s="222"/>
      <c r="SWO152" s="223"/>
      <c r="SWP152" s="223"/>
      <c r="SWQ152" s="224"/>
      <c r="SWR152" s="223"/>
      <c r="SWS152" s="223"/>
      <c r="SWT152" s="223"/>
      <c r="SWU152" s="223"/>
      <c r="SWV152" s="225"/>
      <c r="SWW152" s="220"/>
      <c r="SWX152" s="221"/>
      <c r="SWY152" s="222"/>
      <c r="SWZ152" s="222"/>
      <c r="SXA152" s="223"/>
      <c r="SXB152" s="223"/>
      <c r="SXC152" s="224"/>
      <c r="SXD152" s="223"/>
      <c r="SXE152" s="223"/>
      <c r="SXF152" s="223"/>
      <c r="SXG152" s="223"/>
      <c r="SXH152" s="225"/>
      <c r="SXI152" s="220"/>
      <c r="SXJ152" s="221"/>
      <c r="SXK152" s="222"/>
      <c r="SXL152" s="222"/>
      <c r="SXM152" s="223"/>
      <c r="SXN152" s="223"/>
      <c r="SXO152" s="224"/>
      <c r="SXP152" s="223"/>
      <c r="SXQ152" s="223"/>
      <c r="SXR152" s="223"/>
      <c r="SXS152" s="223"/>
      <c r="SXT152" s="225"/>
      <c r="SXU152" s="220"/>
      <c r="SXV152" s="221"/>
      <c r="SXW152" s="222"/>
      <c r="SXX152" s="222"/>
      <c r="SXY152" s="223"/>
      <c r="SXZ152" s="223"/>
      <c r="SYA152" s="224"/>
      <c r="SYB152" s="223"/>
      <c r="SYC152" s="223"/>
      <c r="SYD152" s="223"/>
      <c r="SYE152" s="223"/>
      <c r="SYF152" s="225"/>
      <c r="SYG152" s="220"/>
      <c r="SYH152" s="221"/>
      <c r="SYI152" s="222"/>
      <c r="SYJ152" s="222"/>
      <c r="SYK152" s="223"/>
      <c r="SYL152" s="223"/>
      <c r="SYM152" s="224"/>
      <c r="SYN152" s="223"/>
      <c r="SYO152" s="223"/>
      <c r="SYP152" s="223"/>
      <c r="SYQ152" s="223"/>
      <c r="SYR152" s="225"/>
      <c r="SYS152" s="220"/>
      <c r="SYT152" s="221"/>
      <c r="SYU152" s="222"/>
      <c r="SYV152" s="222"/>
      <c r="SYW152" s="223"/>
      <c r="SYX152" s="223"/>
      <c r="SYY152" s="224"/>
      <c r="SYZ152" s="223"/>
      <c r="SZA152" s="223"/>
      <c r="SZB152" s="223"/>
      <c r="SZC152" s="223"/>
      <c r="SZD152" s="225"/>
      <c r="SZE152" s="220"/>
      <c r="SZF152" s="221"/>
      <c r="SZG152" s="222"/>
      <c r="SZH152" s="222"/>
      <c r="SZI152" s="223"/>
      <c r="SZJ152" s="223"/>
      <c r="SZK152" s="224"/>
      <c r="SZL152" s="223"/>
      <c r="SZM152" s="223"/>
      <c r="SZN152" s="223"/>
      <c r="SZO152" s="223"/>
      <c r="SZP152" s="225"/>
      <c r="SZQ152" s="220"/>
      <c r="SZR152" s="221"/>
      <c r="SZS152" s="222"/>
      <c r="SZT152" s="222"/>
      <c r="SZU152" s="223"/>
      <c r="SZV152" s="223"/>
      <c r="SZW152" s="224"/>
      <c r="SZX152" s="223"/>
      <c r="SZY152" s="223"/>
      <c r="SZZ152" s="223"/>
      <c r="TAA152" s="223"/>
      <c r="TAB152" s="225"/>
      <c r="TAC152" s="220"/>
      <c r="TAD152" s="221"/>
      <c r="TAE152" s="222"/>
      <c r="TAF152" s="222"/>
      <c r="TAG152" s="223"/>
      <c r="TAH152" s="223"/>
      <c r="TAI152" s="224"/>
      <c r="TAJ152" s="223"/>
      <c r="TAK152" s="223"/>
      <c r="TAL152" s="223"/>
      <c r="TAM152" s="223"/>
      <c r="TAN152" s="225"/>
      <c r="TAO152" s="220"/>
      <c r="TAP152" s="221"/>
      <c r="TAQ152" s="222"/>
      <c r="TAR152" s="222"/>
      <c r="TAS152" s="223"/>
      <c r="TAT152" s="223"/>
      <c r="TAU152" s="224"/>
      <c r="TAV152" s="223"/>
      <c r="TAW152" s="223"/>
      <c r="TAX152" s="223"/>
      <c r="TAY152" s="223"/>
      <c r="TAZ152" s="225"/>
      <c r="TBA152" s="220"/>
      <c r="TBB152" s="221"/>
      <c r="TBC152" s="222"/>
      <c r="TBD152" s="222"/>
      <c r="TBE152" s="223"/>
      <c r="TBF152" s="223"/>
      <c r="TBG152" s="224"/>
      <c r="TBH152" s="223"/>
      <c r="TBI152" s="223"/>
      <c r="TBJ152" s="223"/>
      <c r="TBK152" s="223"/>
      <c r="TBL152" s="225"/>
      <c r="TBM152" s="220"/>
      <c r="TBN152" s="221"/>
      <c r="TBO152" s="222"/>
      <c r="TBP152" s="222"/>
      <c r="TBQ152" s="223"/>
      <c r="TBR152" s="223"/>
      <c r="TBS152" s="224"/>
      <c r="TBT152" s="223"/>
      <c r="TBU152" s="223"/>
      <c r="TBV152" s="223"/>
      <c r="TBW152" s="223"/>
      <c r="TBX152" s="225"/>
      <c r="TBY152" s="220"/>
      <c r="TBZ152" s="221"/>
      <c r="TCA152" s="222"/>
      <c r="TCB152" s="222"/>
      <c r="TCC152" s="223"/>
      <c r="TCD152" s="223"/>
      <c r="TCE152" s="224"/>
      <c r="TCF152" s="223"/>
      <c r="TCG152" s="223"/>
      <c r="TCH152" s="223"/>
      <c r="TCI152" s="223"/>
      <c r="TCJ152" s="225"/>
      <c r="TCK152" s="220"/>
      <c r="TCL152" s="221"/>
      <c r="TCM152" s="222"/>
      <c r="TCN152" s="222"/>
      <c r="TCO152" s="223"/>
      <c r="TCP152" s="223"/>
      <c r="TCQ152" s="224"/>
      <c r="TCR152" s="223"/>
      <c r="TCS152" s="223"/>
      <c r="TCT152" s="223"/>
      <c r="TCU152" s="223"/>
      <c r="TCV152" s="225"/>
      <c r="TCW152" s="220"/>
      <c r="TCX152" s="221"/>
      <c r="TCY152" s="222"/>
      <c r="TCZ152" s="222"/>
      <c r="TDA152" s="223"/>
      <c r="TDB152" s="223"/>
      <c r="TDC152" s="224"/>
      <c r="TDD152" s="223"/>
      <c r="TDE152" s="223"/>
      <c r="TDF152" s="223"/>
      <c r="TDG152" s="223"/>
      <c r="TDH152" s="225"/>
      <c r="TDI152" s="220"/>
      <c r="TDJ152" s="221"/>
      <c r="TDK152" s="222"/>
      <c r="TDL152" s="222"/>
      <c r="TDM152" s="223"/>
      <c r="TDN152" s="223"/>
      <c r="TDO152" s="224"/>
      <c r="TDP152" s="223"/>
      <c r="TDQ152" s="223"/>
      <c r="TDR152" s="223"/>
      <c r="TDS152" s="223"/>
      <c r="TDT152" s="225"/>
      <c r="TDU152" s="220"/>
      <c r="TDV152" s="221"/>
      <c r="TDW152" s="222"/>
      <c r="TDX152" s="222"/>
      <c r="TDY152" s="223"/>
      <c r="TDZ152" s="223"/>
      <c r="TEA152" s="224"/>
      <c r="TEB152" s="223"/>
      <c r="TEC152" s="223"/>
      <c r="TED152" s="223"/>
      <c r="TEE152" s="223"/>
      <c r="TEF152" s="225"/>
      <c r="TEG152" s="220"/>
      <c r="TEH152" s="221"/>
      <c r="TEI152" s="222"/>
      <c r="TEJ152" s="222"/>
      <c r="TEK152" s="223"/>
      <c r="TEL152" s="223"/>
      <c r="TEM152" s="224"/>
      <c r="TEN152" s="223"/>
      <c r="TEO152" s="223"/>
      <c r="TEP152" s="223"/>
      <c r="TEQ152" s="223"/>
      <c r="TER152" s="225"/>
      <c r="TES152" s="220"/>
      <c r="TET152" s="221"/>
      <c r="TEU152" s="222"/>
      <c r="TEV152" s="222"/>
      <c r="TEW152" s="223"/>
      <c r="TEX152" s="223"/>
      <c r="TEY152" s="224"/>
      <c r="TEZ152" s="223"/>
      <c r="TFA152" s="223"/>
      <c r="TFB152" s="223"/>
      <c r="TFC152" s="223"/>
      <c r="TFD152" s="225"/>
      <c r="TFE152" s="220"/>
      <c r="TFF152" s="221"/>
      <c r="TFG152" s="222"/>
      <c r="TFH152" s="222"/>
      <c r="TFI152" s="223"/>
      <c r="TFJ152" s="223"/>
      <c r="TFK152" s="224"/>
      <c r="TFL152" s="223"/>
      <c r="TFM152" s="223"/>
      <c r="TFN152" s="223"/>
      <c r="TFO152" s="223"/>
      <c r="TFP152" s="225"/>
      <c r="TFQ152" s="220"/>
      <c r="TFR152" s="221"/>
      <c r="TFS152" s="222"/>
      <c r="TFT152" s="222"/>
      <c r="TFU152" s="223"/>
      <c r="TFV152" s="223"/>
      <c r="TFW152" s="224"/>
      <c r="TFX152" s="223"/>
      <c r="TFY152" s="223"/>
      <c r="TFZ152" s="223"/>
      <c r="TGA152" s="223"/>
      <c r="TGB152" s="225"/>
      <c r="TGC152" s="220"/>
      <c r="TGD152" s="221"/>
      <c r="TGE152" s="222"/>
      <c r="TGF152" s="222"/>
      <c r="TGG152" s="223"/>
      <c r="TGH152" s="223"/>
      <c r="TGI152" s="224"/>
      <c r="TGJ152" s="223"/>
      <c r="TGK152" s="223"/>
      <c r="TGL152" s="223"/>
      <c r="TGM152" s="223"/>
      <c r="TGN152" s="225"/>
      <c r="TGO152" s="220"/>
      <c r="TGP152" s="221"/>
      <c r="TGQ152" s="222"/>
      <c r="TGR152" s="222"/>
      <c r="TGS152" s="223"/>
      <c r="TGT152" s="223"/>
      <c r="TGU152" s="224"/>
      <c r="TGV152" s="223"/>
      <c r="TGW152" s="223"/>
      <c r="TGX152" s="223"/>
      <c r="TGY152" s="223"/>
      <c r="TGZ152" s="225"/>
      <c r="THA152" s="220"/>
      <c r="THB152" s="221"/>
      <c r="THC152" s="222"/>
      <c r="THD152" s="222"/>
      <c r="THE152" s="223"/>
      <c r="THF152" s="223"/>
      <c r="THG152" s="224"/>
      <c r="THH152" s="223"/>
      <c r="THI152" s="223"/>
      <c r="THJ152" s="223"/>
      <c r="THK152" s="223"/>
      <c r="THL152" s="225"/>
      <c r="THM152" s="220"/>
      <c r="THN152" s="221"/>
      <c r="THO152" s="222"/>
      <c r="THP152" s="222"/>
      <c r="THQ152" s="223"/>
      <c r="THR152" s="223"/>
      <c r="THS152" s="224"/>
      <c r="THT152" s="223"/>
      <c r="THU152" s="223"/>
      <c r="THV152" s="223"/>
      <c r="THW152" s="223"/>
      <c r="THX152" s="225"/>
      <c r="THY152" s="220"/>
      <c r="THZ152" s="221"/>
      <c r="TIA152" s="222"/>
      <c r="TIB152" s="222"/>
      <c r="TIC152" s="223"/>
      <c r="TID152" s="223"/>
      <c r="TIE152" s="224"/>
      <c r="TIF152" s="223"/>
      <c r="TIG152" s="223"/>
      <c r="TIH152" s="223"/>
      <c r="TII152" s="223"/>
      <c r="TIJ152" s="225"/>
      <c r="TIK152" s="220"/>
      <c r="TIL152" s="221"/>
      <c r="TIM152" s="222"/>
      <c r="TIN152" s="222"/>
      <c r="TIO152" s="223"/>
      <c r="TIP152" s="223"/>
      <c r="TIQ152" s="224"/>
      <c r="TIR152" s="223"/>
      <c r="TIS152" s="223"/>
      <c r="TIT152" s="223"/>
      <c r="TIU152" s="223"/>
      <c r="TIV152" s="225"/>
      <c r="TIW152" s="220"/>
      <c r="TIX152" s="221"/>
      <c r="TIY152" s="222"/>
      <c r="TIZ152" s="222"/>
      <c r="TJA152" s="223"/>
      <c r="TJB152" s="223"/>
      <c r="TJC152" s="224"/>
      <c r="TJD152" s="223"/>
      <c r="TJE152" s="223"/>
      <c r="TJF152" s="223"/>
      <c r="TJG152" s="223"/>
      <c r="TJH152" s="225"/>
      <c r="TJI152" s="220"/>
      <c r="TJJ152" s="221"/>
      <c r="TJK152" s="222"/>
      <c r="TJL152" s="222"/>
      <c r="TJM152" s="223"/>
      <c r="TJN152" s="223"/>
      <c r="TJO152" s="224"/>
      <c r="TJP152" s="223"/>
      <c r="TJQ152" s="223"/>
      <c r="TJR152" s="223"/>
      <c r="TJS152" s="223"/>
      <c r="TJT152" s="225"/>
      <c r="TJU152" s="220"/>
      <c r="TJV152" s="221"/>
      <c r="TJW152" s="222"/>
      <c r="TJX152" s="222"/>
      <c r="TJY152" s="223"/>
      <c r="TJZ152" s="223"/>
      <c r="TKA152" s="224"/>
      <c r="TKB152" s="223"/>
      <c r="TKC152" s="223"/>
      <c r="TKD152" s="223"/>
      <c r="TKE152" s="223"/>
      <c r="TKF152" s="225"/>
      <c r="TKG152" s="220"/>
      <c r="TKH152" s="221"/>
      <c r="TKI152" s="222"/>
      <c r="TKJ152" s="222"/>
      <c r="TKK152" s="223"/>
      <c r="TKL152" s="223"/>
      <c r="TKM152" s="224"/>
      <c r="TKN152" s="223"/>
      <c r="TKO152" s="223"/>
      <c r="TKP152" s="223"/>
      <c r="TKQ152" s="223"/>
      <c r="TKR152" s="225"/>
      <c r="TKS152" s="220"/>
      <c r="TKT152" s="221"/>
      <c r="TKU152" s="222"/>
      <c r="TKV152" s="222"/>
      <c r="TKW152" s="223"/>
      <c r="TKX152" s="223"/>
      <c r="TKY152" s="224"/>
      <c r="TKZ152" s="223"/>
      <c r="TLA152" s="223"/>
      <c r="TLB152" s="223"/>
      <c r="TLC152" s="223"/>
      <c r="TLD152" s="225"/>
      <c r="TLE152" s="220"/>
      <c r="TLF152" s="221"/>
      <c r="TLG152" s="222"/>
      <c r="TLH152" s="222"/>
      <c r="TLI152" s="223"/>
      <c r="TLJ152" s="223"/>
      <c r="TLK152" s="224"/>
      <c r="TLL152" s="223"/>
      <c r="TLM152" s="223"/>
      <c r="TLN152" s="223"/>
      <c r="TLO152" s="223"/>
      <c r="TLP152" s="225"/>
      <c r="TLQ152" s="220"/>
      <c r="TLR152" s="221"/>
      <c r="TLS152" s="222"/>
      <c r="TLT152" s="222"/>
      <c r="TLU152" s="223"/>
      <c r="TLV152" s="223"/>
      <c r="TLW152" s="224"/>
      <c r="TLX152" s="223"/>
      <c r="TLY152" s="223"/>
      <c r="TLZ152" s="223"/>
      <c r="TMA152" s="223"/>
      <c r="TMB152" s="225"/>
      <c r="TMC152" s="220"/>
      <c r="TMD152" s="221"/>
      <c r="TME152" s="222"/>
      <c r="TMF152" s="222"/>
      <c r="TMG152" s="223"/>
      <c r="TMH152" s="223"/>
      <c r="TMI152" s="224"/>
      <c r="TMJ152" s="223"/>
      <c r="TMK152" s="223"/>
      <c r="TML152" s="223"/>
      <c r="TMM152" s="223"/>
      <c r="TMN152" s="225"/>
      <c r="TMO152" s="220"/>
      <c r="TMP152" s="221"/>
      <c r="TMQ152" s="222"/>
      <c r="TMR152" s="222"/>
      <c r="TMS152" s="223"/>
      <c r="TMT152" s="223"/>
      <c r="TMU152" s="224"/>
      <c r="TMV152" s="223"/>
      <c r="TMW152" s="223"/>
      <c r="TMX152" s="223"/>
      <c r="TMY152" s="223"/>
      <c r="TMZ152" s="225"/>
      <c r="TNA152" s="220"/>
      <c r="TNB152" s="221"/>
      <c r="TNC152" s="222"/>
      <c r="TND152" s="222"/>
      <c r="TNE152" s="223"/>
      <c r="TNF152" s="223"/>
      <c r="TNG152" s="224"/>
      <c r="TNH152" s="223"/>
      <c r="TNI152" s="223"/>
      <c r="TNJ152" s="223"/>
      <c r="TNK152" s="223"/>
      <c r="TNL152" s="225"/>
      <c r="TNM152" s="220"/>
      <c r="TNN152" s="221"/>
      <c r="TNO152" s="222"/>
      <c r="TNP152" s="222"/>
      <c r="TNQ152" s="223"/>
      <c r="TNR152" s="223"/>
      <c r="TNS152" s="224"/>
      <c r="TNT152" s="223"/>
      <c r="TNU152" s="223"/>
      <c r="TNV152" s="223"/>
      <c r="TNW152" s="223"/>
      <c r="TNX152" s="225"/>
      <c r="TNY152" s="220"/>
      <c r="TNZ152" s="221"/>
      <c r="TOA152" s="222"/>
      <c r="TOB152" s="222"/>
      <c r="TOC152" s="223"/>
      <c r="TOD152" s="223"/>
      <c r="TOE152" s="224"/>
      <c r="TOF152" s="223"/>
      <c r="TOG152" s="223"/>
      <c r="TOH152" s="223"/>
      <c r="TOI152" s="223"/>
      <c r="TOJ152" s="225"/>
      <c r="TOK152" s="220"/>
      <c r="TOL152" s="221"/>
      <c r="TOM152" s="222"/>
      <c r="TON152" s="222"/>
      <c r="TOO152" s="223"/>
      <c r="TOP152" s="223"/>
      <c r="TOQ152" s="224"/>
      <c r="TOR152" s="223"/>
      <c r="TOS152" s="223"/>
      <c r="TOT152" s="223"/>
      <c r="TOU152" s="223"/>
      <c r="TOV152" s="225"/>
      <c r="TOW152" s="220"/>
      <c r="TOX152" s="221"/>
      <c r="TOY152" s="222"/>
      <c r="TOZ152" s="222"/>
      <c r="TPA152" s="223"/>
      <c r="TPB152" s="223"/>
      <c r="TPC152" s="224"/>
      <c r="TPD152" s="223"/>
      <c r="TPE152" s="223"/>
      <c r="TPF152" s="223"/>
      <c r="TPG152" s="223"/>
      <c r="TPH152" s="225"/>
      <c r="TPI152" s="220"/>
      <c r="TPJ152" s="221"/>
      <c r="TPK152" s="222"/>
      <c r="TPL152" s="222"/>
      <c r="TPM152" s="223"/>
      <c r="TPN152" s="223"/>
      <c r="TPO152" s="224"/>
      <c r="TPP152" s="223"/>
      <c r="TPQ152" s="223"/>
      <c r="TPR152" s="223"/>
      <c r="TPS152" s="223"/>
      <c r="TPT152" s="225"/>
      <c r="TPU152" s="220"/>
      <c r="TPV152" s="221"/>
      <c r="TPW152" s="222"/>
      <c r="TPX152" s="222"/>
      <c r="TPY152" s="223"/>
      <c r="TPZ152" s="223"/>
      <c r="TQA152" s="224"/>
      <c r="TQB152" s="223"/>
      <c r="TQC152" s="223"/>
      <c r="TQD152" s="223"/>
      <c r="TQE152" s="223"/>
      <c r="TQF152" s="225"/>
      <c r="TQG152" s="220"/>
      <c r="TQH152" s="221"/>
      <c r="TQI152" s="222"/>
      <c r="TQJ152" s="222"/>
      <c r="TQK152" s="223"/>
      <c r="TQL152" s="223"/>
      <c r="TQM152" s="224"/>
      <c r="TQN152" s="223"/>
      <c r="TQO152" s="223"/>
      <c r="TQP152" s="223"/>
      <c r="TQQ152" s="223"/>
      <c r="TQR152" s="225"/>
      <c r="TQS152" s="220"/>
      <c r="TQT152" s="221"/>
      <c r="TQU152" s="222"/>
      <c r="TQV152" s="222"/>
      <c r="TQW152" s="223"/>
      <c r="TQX152" s="223"/>
      <c r="TQY152" s="224"/>
      <c r="TQZ152" s="223"/>
      <c r="TRA152" s="223"/>
      <c r="TRB152" s="223"/>
      <c r="TRC152" s="223"/>
      <c r="TRD152" s="225"/>
      <c r="TRE152" s="220"/>
      <c r="TRF152" s="221"/>
      <c r="TRG152" s="222"/>
      <c r="TRH152" s="222"/>
      <c r="TRI152" s="223"/>
      <c r="TRJ152" s="223"/>
      <c r="TRK152" s="224"/>
      <c r="TRL152" s="223"/>
      <c r="TRM152" s="223"/>
      <c r="TRN152" s="223"/>
      <c r="TRO152" s="223"/>
      <c r="TRP152" s="225"/>
      <c r="TRQ152" s="220"/>
      <c r="TRR152" s="221"/>
      <c r="TRS152" s="222"/>
      <c r="TRT152" s="222"/>
      <c r="TRU152" s="223"/>
      <c r="TRV152" s="223"/>
      <c r="TRW152" s="224"/>
      <c r="TRX152" s="223"/>
      <c r="TRY152" s="223"/>
      <c r="TRZ152" s="223"/>
      <c r="TSA152" s="223"/>
      <c r="TSB152" s="225"/>
      <c r="TSC152" s="220"/>
      <c r="TSD152" s="221"/>
      <c r="TSE152" s="222"/>
      <c r="TSF152" s="222"/>
      <c r="TSG152" s="223"/>
      <c r="TSH152" s="223"/>
      <c r="TSI152" s="224"/>
      <c r="TSJ152" s="223"/>
      <c r="TSK152" s="223"/>
      <c r="TSL152" s="223"/>
      <c r="TSM152" s="223"/>
      <c r="TSN152" s="225"/>
      <c r="TSO152" s="220"/>
      <c r="TSP152" s="221"/>
      <c r="TSQ152" s="222"/>
      <c r="TSR152" s="222"/>
      <c r="TSS152" s="223"/>
      <c r="TST152" s="223"/>
      <c r="TSU152" s="224"/>
      <c r="TSV152" s="223"/>
      <c r="TSW152" s="223"/>
      <c r="TSX152" s="223"/>
      <c r="TSY152" s="223"/>
      <c r="TSZ152" s="225"/>
      <c r="TTA152" s="220"/>
      <c r="TTB152" s="221"/>
      <c r="TTC152" s="222"/>
      <c r="TTD152" s="222"/>
      <c r="TTE152" s="223"/>
      <c r="TTF152" s="223"/>
      <c r="TTG152" s="224"/>
      <c r="TTH152" s="223"/>
      <c r="TTI152" s="223"/>
      <c r="TTJ152" s="223"/>
      <c r="TTK152" s="223"/>
      <c r="TTL152" s="225"/>
      <c r="TTM152" s="220"/>
      <c r="TTN152" s="221"/>
      <c r="TTO152" s="222"/>
      <c r="TTP152" s="222"/>
      <c r="TTQ152" s="223"/>
      <c r="TTR152" s="223"/>
      <c r="TTS152" s="224"/>
      <c r="TTT152" s="223"/>
      <c r="TTU152" s="223"/>
      <c r="TTV152" s="223"/>
      <c r="TTW152" s="223"/>
      <c r="TTX152" s="225"/>
      <c r="TTY152" s="220"/>
      <c r="TTZ152" s="221"/>
      <c r="TUA152" s="222"/>
      <c r="TUB152" s="222"/>
      <c r="TUC152" s="223"/>
      <c r="TUD152" s="223"/>
      <c r="TUE152" s="224"/>
      <c r="TUF152" s="223"/>
      <c r="TUG152" s="223"/>
      <c r="TUH152" s="223"/>
      <c r="TUI152" s="223"/>
      <c r="TUJ152" s="225"/>
      <c r="TUK152" s="220"/>
      <c r="TUL152" s="221"/>
      <c r="TUM152" s="222"/>
      <c r="TUN152" s="222"/>
      <c r="TUO152" s="223"/>
      <c r="TUP152" s="223"/>
      <c r="TUQ152" s="224"/>
      <c r="TUR152" s="223"/>
      <c r="TUS152" s="223"/>
      <c r="TUT152" s="223"/>
      <c r="TUU152" s="223"/>
      <c r="TUV152" s="225"/>
      <c r="TUW152" s="220"/>
      <c r="TUX152" s="221"/>
      <c r="TUY152" s="222"/>
      <c r="TUZ152" s="222"/>
      <c r="TVA152" s="223"/>
      <c r="TVB152" s="223"/>
      <c r="TVC152" s="224"/>
      <c r="TVD152" s="223"/>
      <c r="TVE152" s="223"/>
      <c r="TVF152" s="223"/>
      <c r="TVG152" s="223"/>
      <c r="TVH152" s="225"/>
      <c r="TVI152" s="220"/>
      <c r="TVJ152" s="221"/>
      <c r="TVK152" s="222"/>
      <c r="TVL152" s="222"/>
      <c r="TVM152" s="223"/>
      <c r="TVN152" s="223"/>
      <c r="TVO152" s="224"/>
      <c r="TVP152" s="223"/>
      <c r="TVQ152" s="223"/>
      <c r="TVR152" s="223"/>
      <c r="TVS152" s="223"/>
      <c r="TVT152" s="225"/>
      <c r="TVU152" s="220"/>
      <c r="TVV152" s="221"/>
      <c r="TVW152" s="222"/>
      <c r="TVX152" s="222"/>
      <c r="TVY152" s="223"/>
      <c r="TVZ152" s="223"/>
      <c r="TWA152" s="224"/>
      <c r="TWB152" s="223"/>
      <c r="TWC152" s="223"/>
      <c r="TWD152" s="223"/>
      <c r="TWE152" s="223"/>
      <c r="TWF152" s="225"/>
      <c r="TWG152" s="220"/>
      <c r="TWH152" s="221"/>
      <c r="TWI152" s="222"/>
      <c r="TWJ152" s="222"/>
      <c r="TWK152" s="223"/>
      <c r="TWL152" s="223"/>
      <c r="TWM152" s="224"/>
      <c r="TWN152" s="223"/>
      <c r="TWO152" s="223"/>
      <c r="TWP152" s="223"/>
      <c r="TWQ152" s="223"/>
      <c r="TWR152" s="225"/>
      <c r="TWS152" s="220"/>
      <c r="TWT152" s="221"/>
      <c r="TWU152" s="222"/>
      <c r="TWV152" s="222"/>
      <c r="TWW152" s="223"/>
      <c r="TWX152" s="223"/>
      <c r="TWY152" s="224"/>
      <c r="TWZ152" s="223"/>
      <c r="TXA152" s="223"/>
      <c r="TXB152" s="223"/>
      <c r="TXC152" s="223"/>
      <c r="TXD152" s="225"/>
      <c r="TXE152" s="220"/>
      <c r="TXF152" s="221"/>
      <c r="TXG152" s="222"/>
      <c r="TXH152" s="222"/>
      <c r="TXI152" s="223"/>
      <c r="TXJ152" s="223"/>
      <c r="TXK152" s="224"/>
      <c r="TXL152" s="223"/>
      <c r="TXM152" s="223"/>
      <c r="TXN152" s="223"/>
      <c r="TXO152" s="223"/>
      <c r="TXP152" s="225"/>
      <c r="TXQ152" s="220"/>
      <c r="TXR152" s="221"/>
      <c r="TXS152" s="222"/>
      <c r="TXT152" s="222"/>
      <c r="TXU152" s="223"/>
      <c r="TXV152" s="223"/>
      <c r="TXW152" s="224"/>
      <c r="TXX152" s="223"/>
      <c r="TXY152" s="223"/>
      <c r="TXZ152" s="223"/>
      <c r="TYA152" s="223"/>
      <c r="TYB152" s="225"/>
      <c r="TYC152" s="220"/>
      <c r="TYD152" s="221"/>
      <c r="TYE152" s="222"/>
      <c r="TYF152" s="222"/>
      <c r="TYG152" s="223"/>
      <c r="TYH152" s="223"/>
      <c r="TYI152" s="224"/>
      <c r="TYJ152" s="223"/>
      <c r="TYK152" s="223"/>
      <c r="TYL152" s="223"/>
      <c r="TYM152" s="223"/>
      <c r="TYN152" s="225"/>
      <c r="TYO152" s="220"/>
      <c r="TYP152" s="221"/>
      <c r="TYQ152" s="222"/>
      <c r="TYR152" s="222"/>
      <c r="TYS152" s="223"/>
      <c r="TYT152" s="223"/>
      <c r="TYU152" s="224"/>
      <c r="TYV152" s="223"/>
      <c r="TYW152" s="223"/>
      <c r="TYX152" s="223"/>
      <c r="TYY152" s="223"/>
      <c r="TYZ152" s="225"/>
      <c r="TZA152" s="220"/>
      <c r="TZB152" s="221"/>
      <c r="TZC152" s="222"/>
      <c r="TZD152" s="222"/>
      <c r="TZE152" s="223"/>
      <c r="TZF152" s="223"/>
      <c r="TZG152" s="224"/>
      <c r="TZH152" s="223"/>
      <c r="TZI152" s="223"/>
      <c r="TZJ152" s="223"/>
      <c r="TZK152" s="223"/>
      <c r="TZL152" s="225"/>
      <c r="TZM152" s="220"/>
      <c r="TZN152" s="221"/>
      <c r="TZO152" s="222"/>
      <c r="TZP152" s="222"/>
      <c r="TZQ152" s="223"/>
      <c r="TZR152" s="223"/>
      <c r="TZS152" s="224"/>
      <c r="TZT152" s="223"/>
      <c r="TZU152" s="223"/>
      <c r="TZV152" s="223"/>
      <c r="TZW152" s="223"/>
      <c r="TZX152" s="225"/>
      <c r="TZY152" s="220"/>
      <c r="TZZ152" s="221"/>
      <c r="UAA152" s="222"/>
      <c r="UAB152" s="222"/>
      <c r="UAC152" s="223"/>
      <c r="UAD152" s="223"/>
      <c r="UAE152" s="224"/>
      <c r="UAF152" s="223"/>
      <c r="UAG152" s="223"/>
      <c r="UAH152" s="223"/>
      <c r="UAI152" s="223"/>
      <c r="UAJ152" s="225"/>
      <c r="UAK152" s="220"/>
      <c r="UAL152" s="221"/>
      <c r="UAM152" s="222"/>
      <c r="UAN152" s="222"/>
      <c r="UAO152" s="223"/>
      <c r="UAP152" s="223"/>
      <c r="UAQ152" s="224"/>
      <c r="UAR152" s="223"/>
      <c r="UAS152" s="223"/>
      <c r="UAT152" s="223"/>
      <c r="UAU152" s="223"/>
      <c r="UAV152" s="225"/>
      <c r="UAW152" s="220"/>
      <c r="UAX152" s="221"/>
      <c r="UAY152" s="222"/>
      <c r="UAZ152" s="222"/>
      <c r="UBA152" s="223"/>
      <c r="UBB152" s="223"/>
      <c r="UBC152" s="224"/>
      <c r="UBD152" s="223"/>
      <c r="UBE152" s="223"/>
      <c r="UBF152" s="223"/>
      <c r="UBG152" s="223"/>
      <c r="UBH152" s="225"/>
      <c r="UBI152" s="220"/>
      <c r="UBJ152" s="221"/>
      <c r="UBK152" s="222"/>
      <c r="UBL152" s="222"/>
      <c r="UBM152" s="223"/>
      <c r="UBN152" s="223"/>
      <c r="UBO152" s="224"/>
      <c r="UBP152" s="223"/>
      <c r="UBQ152" s="223"/>
      <c r="UBR152" s="223"/>
      <c r="UBS152" s="223"/>
      <c r="UBT152" s="225"/>
      <c r="UBU152" s="220"/>
      <c r="UBV152" s="221"/>
      <c r="UBW152" s="222"/>
      <c r="UBX152" s="222"/>
      <c r="UBY152" s="223"/>
      <c r="UBZ152" s="223"/>
      <c r="UCA152" s="224"/>
      <c r="UCB152" s="223"/>
      <c r="UCC152" s="223"/>
      <c r="UCD152" s="223"/>
      <c r="UCE152" s="223"/>
      <c r="UCF152" s="225"/>
      <c r="UCG152" s="220"/>
      <c r="UCH152" s="221"/>
      <c r="UCI152" s="222"/>
      <c r="UCJ152" s="222"/>
      <c r="UCK152" s="223"/>
      <c r="UCL152" s="223"/>
      <c r="UCM152" s="224"/>
      <c r="UCN152" s="223"/>
      <c r="UCO152" s="223"/>
      <c r="UCP152" s="223"/>
      <c r="UCQ152" s="223"/>
      <c r="UCR152" s="225"/>
      <c r="UCS152" s="220"/>
      <c r="UCT152" s="221"/>
      <c r="UCU152" s="222"/>
      <c r="UCV152" s="222"/>
      <c r="UCW152" s="223"/>
      <c r="UCX152" s="223"/>
      <c r="UCY152" s="224"/>
      <c r="UCZ152" s="223"/>
      <c r="UDA152" s="223"/>
      <c r="UDB152" s="223"/>
      <c r="UDC152" s="223"/>
      <c r="UDD152" s="225"/>
      <c r="UDE152" s="220"/>
      <c r="UDF152" s="221"/>
      <c r="UDG152" s="222"/>
      <c r="UDH152" s="222"/>
      <c r="UDI152" s="223"/>
      <c r="UDJ152" s="223"/>
      <c r="UDK152" s="224"/>
      <c r="UDL152" s="223"/>
      <c r="UDM152" s="223"/>
      <c r="UDN152" s="223"/>
      <c r="UDO152" s="223"/>
      <c r="UDP152" s="225"/>
      <c r="UDQ152" s="220"/>
      <c r="UDR152" s="221"/>
      <c r="UDS152" s="222"/>
      <c r="UDT152" s="222"/>
      <c r="UDU152" s="223"/>
      <c r="UDV152" s="223"/>
      <c r="UDW152" s="224"/>
      <c r="UDX152" s="223"/>
      <c r="UDY152" s="223"/>
      <c r="UDZ152" s="223"/>
      <c r="UEA152" s="223"/>
      <c r="UEB152" s="225"/>
      <c r="UEC152" s="220"/>
      <c r="UED152" s="221"/>
      <c r="UEE152" s="222"/>
      <c r="UEF152" s="222"/>
      <c r="UEG152" s="223"/>
      <c r="UEH152" s="223"/>
      <c r="UEI152" s="224"/>
      <c r="UEJ152" s="223"/>
      <c r="UEK152" s="223"/>
      <c r="UEL152" s="223"/>
      <c r="UEM152" s="223"/>
      <c r="UEN152" s="225"/>
      <c r="UEO152" s="220"/>
      <c r="UEP152" s="221"/>
      <c r="UEQ152" s="222"/>
      <c r="UER152" s="222"/>
      <c r="UES152" s="223"/>
      <c r="UET152" s="223"/>
      <c r="UEU152" s="224"/>
      <c r="UEV152" s="223"/>
      <c r="UEW152" s="223"/>
      <c r="UEX152" s="223"/>
      <c r="UEY152" s="223"/>
      <c r="UEZ152" s="225"/>
      <c r="UFA152" s="220"/>
      <c r="UFB152" s="221"/>
      <c r="UFC152" s="222"/>
      <c r="UFD152" s="222"/>
      <c r="UFE152" s="223"/>
      <c r="UFF152" s="223"/>
      <c r="UFG152" s="224"/>
      <c r="UFH152" s="223"/>
      <c r="UFI152" s="223"/>
      <c r="UFJ152" s="223"/>
      <c r="UFK152" s="223"/>
      <c r="UFL152" s="225"/>
      <c r="UFM152" s="220"/>
      <c r="UFN152" s="221"/>
      <c r="UFO152" s="222"/>
      <c r="UFP152" s="222"/>
      <c r="UFQ152" s="223"/>
      <c r="UFR152" s="223"/>
      <c r="UFS152" s="224"/>
      <c r="UFT152" s="223"/>
      <c r="UFU152" s="223"/>
      <c r="UFV152" s="223"/>
      <c r="UFW152" s="223"/>
      <c r="UFX152" s="225"/>
      <c r="UFY152" s="220"/>
      <c r="UFZ152" s="221"/>
      <c r="UGA152" s="222"/>
      <c r="UGB152" s="222"/>
      <c r="UGC152" s="223"/>
      <c r="UGD152" s="223"/>
      <c r="UGE152" s="224"/>
      <c r="UGF152" s="223"/>
      <c r="UGG152" s="223"/>
      <c r="UGH152" s="223"/>
      <c r="UGI152" s="223"/>
      <c r="UGJ152" s="225"/>
      <c r="UGK152" s="220"/>
      <c r="UGL152" s="221"/>
      <c r="UGM152" s="222"/>
      <c r="UGN152" s="222"/>
      <c r="UGO152" s="223"/>
      <c r="UGP152" s="223"/>
      <c r="UGQ152" s="224"/>
      <c r="UGR152" s="223"/>
      <c r="UGS152" s="223"/>
      <c r="UGT152" s="223"/>
      <c r="UGU152" s="223"/>
      <c r="UGV152" s="225"/>
      <c r="UGW152" s="220"/>
      <c r="UGX152" s="221"/>
      <c r="UGY152" s="222"/>
      <c r="UGZ152" s="222"/>
      <c r="UHA152" s="223"/>
      <c r="UHB152" s="223"/>
      <c r="UHC152" s="224"/>
      <c r="UHD152" s="223"/>
      <c r="UHE152" s="223"/>
      <c r="UHF152" s="223"/>
      <c r="UHG152" s="223"/>
      <c r="UHH152" s="225"/>
      <c r="UHI152" s="220"/>
      <c r="UHJ152" s="221"/>
      <c r="UHK152" s="222"/>
      <c r="UHL152" s="222"/>
      <c r="UHM152" s="223"/>
      <c r="UHN152" s="223"/>
      <c r="UHO152" s="224"/>
      <c r="UHP152" s="223"/>
      <c r="UHQ152" s="223"/>
      <c r="UHR152" s="223"/>
      <c r="UHS152" s="223"/>
      <c r="UHT152" s="225"/>
      <c r="UHU152" s="220"/>
      <c r="UHV152" s="221"/>
      <c r="UHW152" s="222"/>
      <c r="UHX152" s="222"/>
      <c r="UHY152" s="223"/>
      <c r="UHZ152" s="223"/>
      <c r="UIA152" s="224"/>
      <c r="UIB152" s="223"/>
      <c r="UIC152" s="223"/>
      <c r="UID152" s="223"/>
      <c r="UIE152" s="223"/>
      <c r="UIF152" s="225"/>
      <c r="UIG152" s="220"/>
      <c r="UIH152" s="221"/>
      <c r="UII152" s="222"/>
      <c r="UIJ152" s="222"/>
      <c r="UIK152" s="223"/>
      <c r="UIL152" s="223"/>
      <c r="UIM152" s="224"/>
      <c r="UIN152" s="223"/>
      <c r="UIO152" s="223"/>
      <c r="UIP152" s="223"/>
      <c r="UIQ152" s="223"/>
      <c r="UIR152" s="225"/>
      <c r="UIS152" s="220"/>
      <c r="UIT152" s="221"/>
      <c r="UIU152" s="222"/>
      <c r="UIV152" s="222"/>
      <c r="UIW152" s="223"/>
      <c r="UIX152" s="223"/>
      <c r="UIY152" s="224"/>
      <c r="UIZ152" s="223"/>
      <c r="UJA152" s="223"/>
      <c r="UJB152" s="223"/>
      <c r="UJC152" s="223"/>
      <c r="UJD152" s="225"/>
      <c r="UJE152" s="220"/>
      <c r="UJF152" s="221"/>
      <c r="UJG152" s="222"/>
      <c r="UJH152" s="222"/>
      <c r="UJI152" s="223"/>
      <c r="UJJ152" s="223"/>
      <c r="UJK152" s="224"/>
      <c r="UJL152" s="223"/>
      <c r="UJM152" s="223"/>
      <c r="UJN152" s="223"/>
      <c r="UJO152" s="223"/>
      <c r="UJP152" s="225"/>
      <c r="UJQ152" s="220"/>
      <c r="UJR152" s="221"/>
      <c r="UJS152" s="222"/>
      <c r="UJT152" s="222"/>
      <c r="UJU152" s="223"/>
      <c r="UJV152" s="223"/>
      <c r="UJW152" s="224"/>
      <c r="UJX152" s="223"/>
      <c r="UJY152" s="223"/>
      <c r="UJZ152" s="223"/>
      <c r="UKA152" s="223"/>
      <c r="UKB152" s="225"/>
      <c r="UKC152" s="220"/>
      <c r="UKD152" s="221"/>
      <c r="UKE152" s="222"/>
      <c r="UKF152" s="222"/>
      <c r="UKG152" s="223"/>
      <c r="UKH152" s="223"/>
      <c r="UKI152" s="224"/>
      <c r="UKJ152" s="223"/>
      <c r="UKK152" s="223"/>
      <c r="UKL152" s="223"/>
      <c r="UKM152" s="223"/>
      <c r="UKN152" s="225"/>
      <c r="UKO152" s="220"/>
      <c r="UKP152" s="221"/>
      <c r="UKQ152" s="222"/>
      <c r="UKR152" s="222"/>
      <c r="UKS152" s="223"/>
      <c r="UKT152" s="223"/>
      <c r="UKU152" s="224"/>
      <c r="UKV152" s="223"/>
      <c r="UKW152" s="223"/>
      <c r="UKX152" s="223"/>
      <c r="UKY152" s="223"/>
      <c r="UKZ152" s="225"/>
      <c r="ULA152" s="220"/>
      <c r="ULB152" s="221"/>
      <c r="ULC152" s="222"/>
      <c r="ULD152" s="222"/>
      <c r="ULE152" s="223"/>
      <c r="ULF152" s="223"/>
      <c r="ULG152" s="224"/>
      <c r="ULH152" s="223"/>
      <c r="ULI152" s="223"/>
      <c r="ULJ152" s="223"/>
      <c r="ULK152" s="223"/>
      <c r="ULL152" s="225"/>
      <c r="ULM152" s="220"/>
      <c r="ULN152" s="221"/>
      <c r="ULO152" s="222"/>
      <c r="ULP152" s="222"/>
      <c r="ULQ152" s="223"/>
      <c r="ULR152" s="223"/>
      <c r="ULS152" s="224"/>
      <c r="ULT152" s="223"/>
      <c r="ULU152" s="223"/>
      <c r="ULV152" s="223"/>
      <c r="ULW152" s="223"/>
      <c r="ULX152" s="225"/>
      <c r="ULY152" s="220"/>
      <c r="ULZ152" s="221"/>
      <c r="UMA152" s="222"/>
      <c r="UMB152" s="222"/>
      <c r="UMC152" s="223"/>
      <c r="UMD152" s="223"/>
      <c r="UME152" s="224"/>
      <c r="UMF152" s="223"/>
      <c r="UMG152" s="223"/>
      <c r="UMH152" s="223"/>
      <c r="UMI152" s="223"/>
      <c r="UMJ152" s="225"/>
      <c r="UMK152" s="220"/>
      <c r="UML152" s="221"/>
      <c r="UMM152" s="222"/>
      <c r="UMN152" s="222"/>
      <c r="UMO152" s="223"/>
      <c r="UMP152" s="223"/>
      <c r="UMQ152" s="224"/>
      <c r="UMR152" s="223"/>
      <c r="UMS152" s="223"/>
      <c r="UMT152" s="223"/>
      <c r="UMU152" s="223"/>
      <c r="UMV152" s="225"/>
      <c r="UMW152" s="220"/>
      <c r="UMX152" s="221"/>
      <c r="UMY152" s="222"/>
      <c r="UMZ152" s="222"/>
      <c r="UNA152" s="223"/>
      <c r="UNB152" s="223"/>
      <c r="UNC152" s="224"/>
      <c r="UND152" s="223"/>
      <c r="UNE152" s="223"/>
      <c r="UNF152" s="223"/>
      <c r="UNG152" s="223"/>
      <c r="UNH152" s="225"/>
      <c r="UNI152" s="220"/>
      <c r="UNJ152" s="221"/>
      <c r="UNK152" s="222"/>
      <c r="UNL152" s="222"/>
      <c r="UNM152" s="223"/>
      <c r="UNN152" s="223"/>
      <c r="UNO152" s="224"/>
      <c r="UNP152" s="223"/>
      <c r="UNQ152" s="223"/>
      <c r="UNR152" s="223"/>
      <c r="UNS152" s="223"/>
      <c r="UNT152" s="225"/>
      <c r="UNU152" s="220"/>
      <c r="UNV152" s="221"/>
      <c r="UNW152" s="222"/>
      <c r="UNX152" s="222"/>
      <c r="UNY152" s="223"/>
      <c r="UNZ152" s="223"/>
      <c r="UOA152" s="224"/>
      <c r="UOB152" s="223"/>
      <c r="UOC152" s="223"/>
      <c r="UOD152" s="223"/>
      <c r="UOE152" s="223"/>
      <c r="UOF152" s="225"/>
      <c r="UOG152" s="220"/>
      <c r="UOH152" s="221"/>
      <c r="UOI152" s="222"/>
      <c r="UOJ152" s="222"/>
      <c r="UOK152" s="223"/>
      <c r="UOL152" s="223"/>
      <c r="UOM152" s="224"/>
      <c r="UON152" s="223"/>
      <c r="UOO152" s="223"/>
      <c r="UOP152" s="223"/>
      <c r="UOQ152" s="223"/>
      <c r="UOR152" s="225"/>
      <c r="UOS152" s="220"/>
      <c r="UOT152" s="221"/>
      <c r="UOU152" s="222"/>
      <c r="UOV152" s="222"/>
      <c r="UOW152" s="223"/>
      <c r="UOX152" s="223"/>
      <c r="UOY152" s="224"/>
      <c r="UOZ152" s="223"/>
      <c r="UPA152" s="223"/>
      <c r="UPB152" s="223"/>
      <c r="UPC152" s="223"/>
      <c r="UPD152" s="225"/>
      <c r="UPE152" s="220"/>
      <c r="UPF152" s="221"/>
      <c r="UPG152" s="222"/>
      <c r="UPH152" s="222"/>
      <c r="UPI152" s="223"/>
      <c r="UPJ152" s="223"/>
      <c r="UPK152" s="224"/>
      <c r="UPL152" s="223"/>
      <c r="UPM152" s="223"/>
      <c r="UPN152" s="223"/>
      <c r="UPO152" s="223"/>
      <c r="UPP152" s="225"/>
      <c r="UPQ152" s="220"/>
      <c r="UPR152" s="221"/>
      <c r="UPS152" s="222"/>
      <c r="UPT152" s="222"/>
      <c r="UPU152" s="223"/>
      <c r="UPV152" s="223"/>
      <c r="UPW152" s="224"/>
      <c r="UPX152" s="223"/>
      <c r="UPY152" s="223"/>
      <c r="UPZ152" s="223"/>
      <c r="UQA152" s="223"/>
      <c r="UQB152" s="225"/>
      <c r="UQC152" s="220"/>
      <c r="UQD152" s="221"/>
      <c r="UQE152" s="222"/>
      <c r="UQF152" s="222"/>
      <c r="UQG152" s="223"/>
      <c r="UQH152" s="223"/>
      <c r="UQI152" s="224"/>
      <c r="UQJ152" s="223"/>
      <c r="UQK152" s="223"/>
      <c r="UQL152" s="223"/>
      <c r="UQM152" s="223"/>
      <c r="UQN152" s="225"/>
      <c r="UQO152" s="220"/>
      <c r="UQP152" s="221"/>
      <c r="UQQ152" s="222"/>
      <c r="UQR152" s="222"/>
      <c r="UQS152" s="223"/>
      <c r="UQT152" s="223"/>
      <c r="UQU152" s="224"/>
      <c r="UQV152" s="223"/>
      <c r="UQW152" s="223"/>
      <c r="UQX152" s="223"/>
      <c r="UQY152" s="223"/>
      <c r="UQZ152" s="225"/>
      <c r="URA152" s="220"/>
      <c r="URB152" s="221"/>
      <c r="URC152" s="222"/>
      <c r="URD152" s="222"/>
      <c r="URE152" s="223"/>
      <c r="URF152" s="223"/>
      <c r="URG152" s="224"/>
      <c r="URH152" s="223"/>
      <c r="URI152" s="223"/>
      <c r="URJ152" s="223"/>
      <c r="URK152" s="223"/>
      <c r="URL152" s="225"/>
      <c r="URM152" s="220"/>
      <c r="URN152" s="221"/>
      <c r="URO152" s="222"/>
      <c r="URP152" s="222"/>
      <c r="URQ152" s="223"/>
      <c r="URR152" s="223"/>
      <c r="URS152" s="224"/>
      <c r="URT152" s="223"/>
      <c r="URU152" s="223"/>
      <c r="URV152" s="223"/>
      <c r="URW152" s="223"/>
      <c r="URX152" s="225"/>
      <c r="URY152" s="220"/>
      <c r="URZ152" s="221"/>
      <c r="USA152" s="222"/>
      <c r="USB152" s="222"/>
      <c r="USC152" s="223"/>
      <c r="USD152" s="223"/>
      <c r="USE152" s="224"/>
      <c r="USF152" s="223"/>
      <c r="USG152" s="223"/>
      <c r="USH152" s="223"/>
      <c r="USI152" s="223"/>
      <c r="USJ152" s="225"/>
      <c r="USK152" s="220"/>
      <c r="USL152" s="221"/>
      <c r="USM152" s="222"/>
      <c r="USN152" s="222"/>
      <c r="USO152" s="223"/>
      <c r="USP152" s="223"/>
      <c r="USQ152" s="224"/>
      <c r="USR152" s="223"/>
      <c r="USS152" s="223"/>
      <c r="UST152" s="223"/>
      <c r="USU152" s="223"/>
      <c r="USV152" s="225"/>
      <c r="USW152" s="220"/>
      <c r="USX152" s="221"/>
      <c r="USY152" s="222"/>
      <c r="USZ152" s="222"/>
      <c r="UTA152" s="223"/>
      <c r="UTB152" s="223"/>
      <c r="UTC152" s="224"/>
      <c r="UTD152" s="223"/>
      <c r="UTE152" s="223"/>
      <c r="UTF152" s="223"/>
      <c r="UTG152" s="223"/>
      <c r="UTH152" s="225"/>
      <c r="UTI152" s="220"/>
      <c r="UTJ152" s="221"/>
      <c r="UTK152" s="222"/>
      <c r="UTL152" s="222"/>
      <c r="UTM152" s="223"/>
      <c r="UTN152" s="223"/>
      <c r="UTO152" s="224"/>
      <c r="UTP152" s="223"/>
      <c r="UTQ152" s="223"/>
      <c r="UTR152" s="223"/>
      <c r="UTS152" s="223"/>
      <c r="UTT152" s="225"/>
      <c r="UTU152" s="220"/>
      <c r="UTV152" s="221"/>
      <c r="UTW152" s="222"/>
      <c r="UTX152" s="222"/>
      <c r="UTY152" s="223"/>
      <c r="UTZ152" s="223"/>
      <c r="UUA152" s="224"/>
      <c r="UUB152" s="223"/>
      <c r="UUC152" s="223"/>
      <c r="UUD152" s="223"/>
      <c r="UUE152" s="223"/>
      <c r="UUF152" s="225"/>
      <c r="UUG152" s="220"/>
      <c r="UUH152" s="221"/>
      <c r="UUI152" s="222"/>
      <c r="UUJ152" s="222"/>
      <c r="UUK152" s="223"/>
      <c r="UUL152" s="223"/>
      <c r="UUM152" s="224"/>
      <c r="UUN152" s="223"/>
      <c r="UUO152" s="223"/>
      <c r="UUP152" s="223"/>
      <c r="UUQ152" s="223"/>
      <c r="UUR152" s="225"/>
      <c r="UUS152" s="220"/>
      <c r="UUT152" s="221"/>
      <c r="UUU152" s="222"/>
      <c r="UUV152" s="222"/>
      <c r="UUW152" s="223"/>
      <c r="UUX152" s="223"/>
      <c r="UUY152" s="224"/>
      <c r="UUZ152" s="223"/>
      <c r="UVA152" s="223"/>
      <c r="UVB152" s="223"/>
      <c r="UVC152" s="223"/>
      <c r="UVD152" s="225"/>
      <c r="UVE152" s="220"/>
      <c r="UVF152" s="221"/>
      <c r="UVG152" s="222"/>
      <c r="UVH152" s="222"/>
      <c r="UVI152" s="223"/>
      <c r="UVJ152" s="223"/>
      <c r="UVK152" s="224"/>
      <c r="UVL152" s="223"/>
      <c r="UVM152" s="223"/>
      <c r="UVN152" s="223"/>
      <c r="UVO152" s="223"/>
      <c r="UVP152" s="225"/>
      <c r="UVQ152" s="220"/>
      <c r="UVR152" s="221"/>
      <c r="UVS152" s="222"/>
      <c r="UVT152" s="222"/>
      <c r="UVU152" s="223"/>
      <c r="UVV152" s="223"/>
      <c r="UVW152" s="224"/>
      <c r="UVX152" s="223"/>
      <c r="UVY152" s="223"/>
      <c r="UVZ152" s="223"/>
      <c r="UWA152" s="223"/>
      <c r="UWB152" s="225"/>
      <c r="UWC152" s="220"/>
      <c r="UWD152" s="221"/>
      <c r="UWE152" s="222"/>
      <c r="UWF152" s="222"/>
      <c r="UWG152" s="223"/>
      <c r="UWH152" s="223"/>
      <c r="UWI152" s="224"/>
      <c r="UWJ152" s="223"/>
      <c r="UWK152" s="223"/>
      <c r="UWL152" s="223"/>
      <c r="UWM152" s="223"/>
      <c r="UWN152" s="225"/>
      <c r="UWO152" s="220"/>
      <c r="UWP152" s="221"/>
      <c r="UWQ152" s="222"/>
      <c r="UWR152" s="222"/>
      <c r="UWS152" s="223"/>
      <c r="UWT152" s="223"/>
      <c r="UWU152" s="224"/>
      <c r="UWV152" s="223"/>
      <c r="UWW152" s="223"/>
      <c r="UWX152" s="223"/>
      <c r="UWY152" s="223"/>
      <c r="UWZ152" s="225"/>
      <c r="UXA152" s="220"/>
      <c r="UXB152" s="221"/>
      <c r="UXC152" s="222"/>
      <c r="UXD152" s="222"/>
      <c r="UXE152" s="223"/>
      <c r="UXF152" s="223"/>
      <c r="UXG152" s="224"/>
      <c r="UXH152" s="223"/>
      <c r="UXI152" s="223"/>
      <c r="UXJ152" s="223"/>
      <c r="UXK152" s="223"/>
      <c r="UXL152" s="225"/>
      <c r="UXM152" s="220"/>
      <c r="UXN152" s="221"/>
      <c r="UXO152" s="222"/>
      <c r="UXP152" s="222"/>
      <c r="UXQ152" s="223"/>
      <c r="UXR152" s="223"/>
      <c r="UXS152" s="224"/>
      <c r="UXT152" s="223"/>
      <c r="UXU152" s="223"/>
      <c r="UXV152" s="223"/>
      <c r="UXW152" s="223"/>
      <c r="UXX152" s="225"/>
      <c r="UXY152" s="220"/>
      <c r="UXZ152" s="221"/>
      <c r="UYA152" s="222"/>
      <c r="UYB152" s="222"/>
      <c r="UYC152" s="223"/>
      <c r="UYD152" s="223"/>
      <c r="UYE152" s="224"/>
      <c r="UYF152" s="223"/>
      <c r="UYG152" s="223"/>
      <c r="UYH152" s="223"/>
      <c r="UYI152" s="223"/>
      <c r="UYJ152" s="225"/>
      <c r="UYK152" s="220"/>
      <c r="UYL152" s="221"/>
      <c r="UYM152" s="222"/>
      <c r="UYN152" s="222"/>
      <c r="UYO152" s="223"/>
      <c r="UYP152" s="223"/>
      <c r="UYQ152" s="224"/>
      <c r="UYR152" s="223"/>
      <c r="UYS152" s="223"/>
      <c r="UYT152" s="223"/>
      <c r="UYU152" s="223"/>
      <c r="UYV152" s="225"/>
      <c r="UYW152" s="220"/>
      <c r="UYX152" s="221"/>
      <c r="UYY152" s="222"/>
      <c r="UYZ152" s="222"/>
      <c r="UZA152" s="223"/>
      <c r="UZB152" s="223"/>
      <c r="UZC152" s="224"/>
      <c r="UZD152" s="223"/>
      <c r="UZE152" s="223"/>
      <c r="UZF152" s="223"/>
      <c r="UZG152" s="223"/>
      <c r="UZH152" s="225"/>
      <c r="UZI152" s="220"/>
      <c r="UZJ152" s="221"/>
      <c r="UZK152" s="222"/>
      <c r="UZL152" s="222"/>
      <c r="UZM152" s="223"/>
      <c r="UZN152" s="223"/>
      <c r="UZO152" s="224"/>
      <c r="UZP152" s="223"/>
      <c r="UZQ152" s="223"/>
      <c r="UZR152" s="223"/>
      <c r="UZS152" s="223"/>
      <c r="UZT152" s="225"/>
      <c r="UZU152" s="220"/>
      <c r="UZV152" s="221"/>
      <c r="UZW152" s="222"/>
      <c r="UZX152" s="222"/>
      <c r="UZY152" s="223"/>
      <c r="UZZ152" s="223"/>
      <c r="VAA152" s="224"/>
      <c r="VAB152" s="223"/>
      <c r="VAC152" s="223"/>
      <c r="VAD152" s="223"/>
      <c r="VAE152" s="223"/>
      <c r="VAF152" s="225"/>
      <c r="VAG152" s="220"/>
      <c r="VAH152" s="221"/>
      <c r="VAI152" s="222"/>
      <c r="VAJ152" s="222"/>
      <c r="VAK152" s="223"/>
      <c r="VAL152" s="223"/>
      <c r="VAM152" s="224"/>
      <c r="VAN152" s="223"/>
      <c r="VAO152" s="223"/>
      <c r="VAP152" s="223"/>
      <c r="VAQ152" s="223"/>
      <c r="VAR152" s="225"/>
      <c r="VAS152" s="220"/>
      <c r="VAT152" s="221"/>
      <c r="VAU152" s="222"/>
      <c r="VAV152" s="222"/>
      <c r="VAW152" s="223"/>
      <c r="VAX152" s="223"/>
      <c r="VAY152" s="224"/>
      <c r="VAZ152" s="223"/>
      <c r="VBA152" s="223"/>
      <c r="VBB152" s="223"/>
      <c r="VBC152" s="223"/>
      <c r="VBD152" s="225"/>
      <c r="VBE152" s="220"/>
      <c r="VBF152" s="221"/>
      <c r="VBG152" s="222"/>
      <c r="VBH152" s="222"/>
      <c r="VBI152" s="223"/>
      <c r="VBJ152" s="223"/>
      <c r="VBK152" s="224"/>
      <c r="VBL152" s="223"/>
      <c r="VBM152" s="223"/>
      <c r="VBN152" s="223"/>
      <c r="VBO152" s="223"/>
      <c r="VBP152" s="225"/>
      <c r="VBQ152" s="220"/>
      <c r="VBR152" s="221"/>
      <c r="VBS152" s="222"/>
      <c r="VBT152" s="222"/>
      <c r="VBU152" s="223"/>
      <c r="VBV152" s="223"/>
      <c r="VBW152" s="224"/>
      <c r="VBX152" s="223"/>
      <c r="VBY152" s="223"/>
      <c r="VBZ152" s="223"/>
      <c r="VCA152" s="223"/>
      <c r="VCB152" s="225"/>
      <c r="VCC152" s="220"/>
      <c r="VCD152" s="221"/>
      <c r="VCE152" s="222"/>
      <c r="VCF152" s="222"/>
      <c r="VCG152" s="223"/>
      <c r="VCH152" s="223"/>
      <c r="VCI152" s="224"/>
      <c r="VCJ152" s="223"/>
      <c r="VCK152" s="223"/>
      <c r="VCL152" s="223"/>
      <c r="VCM152" s="223"/>
      <c r="VCN152" s="225"/>
      <c r="VCO152" s="220"/>
      <c r="VCP152" s="221"/>
      <c r="VCQ152" s="222"/>
      <c r="VCR152" s="222"/>
      <c r="VCS152" s="223"/>
      <c r="VCT152" s="223"/>
      <c r="VCU152" s="224"/>
      <c r="VCV152" s="223"/>
      <c r="VCW152" s="223"/>
      <c r="VCX152" s="223"/>
      <c r="VCY152" s="223"/>
      <c r="VCZ152" s="225"/>
      <c r="VDA152" s="220"/>
      <c r="VDB152" s="221"/>
      <c r="VDC152" s="222"/>
      <c r="VDD152" s="222"/>
      <c r="VDE152" s="223"/>
      <c r="VDF152" s="223"/>
      <c r="VDG152" s="224"/>
      <c r="VDH152" s="223"/>
      <c r="VDI152" s="223"/>
      <c r="VDJ152" s="223"/>
      <c r="VDK152" s="223"/>
      <c r="VDL152" s="225"/>
      <c r="VDM152" s="220"/>
      <c r="VDN152" s="221"/>
      <c r="VDO152" s="222"/>
      <c r="VDP152" s="222"/>
      <c r="VDQ152" s="223"/>
      <c r="VDR152" s="223"/>
      <c r="VDS152" s="224"/>
      <c r="VDT152" s="223"/>
      <c r="VDU152" s="223"/>
      <c r="VDV152" s="223"/>
      <c r="VDW152" s="223"/>
      <c r="VDX152" s="225"/>
      <c r="VDY152" s="220"/>
      <c r="VDZ152" s="221"/>
      <c r="VEA152" s="222"/>
      <c r="VEB152" s="222"/>
      <c r="VEC152" s="223"/>
      <c r="VED152" s="223"/>
      <c r="VEE152" s="224"/>
      <c r="VEF152" s="223"/>
      <c r="VEG152" s="223"/>
      <c r="VEH152" s="223"/>
      <c r="VEI152" s="223"/>
      <c r="VEJ152" s="225"/>
      <c r="VEK152" s="220"/>
      <c r="VEL152" s="221"/>
      <c r="VEM152" s="222"/>
      <c r="VEN152" s="222"/>
      <c r="VEO152" s="223"/>
      <c r="VEP152" s="223"/>
      <c r="VEQ152" s="224"/>
      <c r="VER152" s="223"/>
      <c r="VES152" s="223"/>
      <c r="VET152" s="223"/>
      <c r="VEU152" s="223"/>
      <c r="VEV152" s="225"/>
      <c r="VEW152" s="220"/>
      <c r="VEX152" s="221"/>
      <c r="VEY152" s="222"/>
      <c r="VEZ152" s="222"/>
      <c r="VFA152" s="223"/>
      <c r="VFB152" s="223"/>
      <c r="VFC152" s="224"/>
      <c r="VFD152" s="223"/>
      <c r="VFE152" s="223"/>
      <c r="VFF152" s="223"/>
      <c r="VFG152" s="223"/>
      <c r="VFH152" s="225"/>
      <c r="VFI152" s="220"/>
      <c r="VFJ152" s="221"/>
      <c r="VFK152" s="222"/>
      <c r="VFL152" s="222"/>
      <c r="VFM152" s="223"/>
      <c r="VFN152" s="223"/>
      <c r="VFO152" s="224"/>
      <c r="VFP152" s="223"/>
      <c r="VFQ152" s="223"/>
      <c r="VFR152" s="223"/>
      <c r="VFS152" s="223"/>
      <c r="VFT152" s="225"/>
      <c r="VFU152" s="220"/>
      <c r="VFV152" s="221"/>
      <c r="VFW152" s="222"/>
      <c r="VFX152" s="222"/>
      <c r="VFY152" s="223"/>
      <c r="VFZ152" s="223"/>
      <c r="VGA152" s="224"/>
      <c r="VGB152" s="223"/>
      <c r="VGC152" s="223"/>
      <c r="VGD152" s="223"/>
      <c r="VGE152" s="223"/>
      <c r="VGF152" s="225"/>
      <c r="VGG152" s="220"/>
      <c r="VGH152" s="221"/>
      <c r="VGI152" s="222"/>
      <c r="VGJ152" s="222"/>
      <c r="VGK152" s="223"/>
      <c r="VGL152" s="223"/>
      <c r="VGM152" s="224"/>
      <c r="VGN152" s="223"/>
      <c r="VGO152" s="223"/>
      <c r="VGP152" s="223"/>
      <c r="VGQ152" s="223"/>
      <c r="VGR152" s="225"/>
      <c r="VGS152" s="220"/>
      <c r="VGT152" s="221"/>
      <c r="VGU152" s="222"/>
      <c r="VGV152" s="222"/>
      <c r="VGW152" s="223"/>
      <c r="VGX152" s="223"/>
      <c r="VGY152" s="224"/>
      <c r="VGZ152" s="223"/>
      <c r="VHA152" s="223"/>
      <c r="VHB152" s="223"/>
      <c r="VHC152" s="223"/>
      <c r="VHD152" s="225"/>
      <c r="VHE152" s="220"/>
      <c r="VHF152" s="221"/>
      <c r="VHG152" s="222"/>
      <c r="VHH152" s="222"/>
      <c r="VHI152" s="223"/>
      <c r="VHJ152" s="223"/>
      <c r="VHK152" s="224"/>
      <c r="VHL152" s="223"/>
      <c r="VHM152" s="223"/>
      <c r="VHN152" s="223"/>
      <c r="VHO152" s="223"/>
      <c r="VHP152" s="225"/>
      <c r="VHQ152" s="220"/>
      <c r="VHR152" s="221"/>
      <c r="VHS152" s="222"/>
      <c r="VHT152" s="222"/>
      <c r="VHU152" s="223"/>
      <c r="VHV152" s="223"/>
      <c r="VHW152" s="224"/>
      <c r="VHX152" s="223"/>
      <c r="VHY152" s="223"/>
      <c r="VHZ152" s="223"/>
      <c r="VIA152" s="223"/>
      <c r="VIB152" s="225"/>
      <c r="VIC152" s="220"/>
      <c r="VID152" s="221"/>
      <c r="VIE152" s="222"/>
      <c r="VIF152" s="222"/>
      <c r="VIG152" s="223"/>
      <c r="VIH152" s="223"/>
      <c r="VII152" s="224"/>
      <c r="VIJ152" s="223"/>
      <c r="VIK152" s="223"/>
      <c r="VIL152" s="223"/>
      <c r="VIM152" s="223"/>
      <c r="VIN152" s="225"/>
      <c r="VIO152" s="220"/>
      <c r="VIP152" s="221"/>
      <c r="VIQ152" s="222"/>
      <c r="VIR152" s="222"/>
      <c r="VIS152" s="223"/>
      <c r="VIT152" s="223"/>
      <c r="VIU152" s="224"/>
      <c r="VIV152" s="223"/>
      <c r="VIW152" s="223"/>
      <c r="VIX152" s="223"/>
      <c r="VIY152" s="223"/>
      <c r="VIZ152" s="225"/>
      <c r="VJA152" s="220"/>
      <c r="VJB152" s="221"/>
      <c r="VJC152" s="222"/>
      <c r="VJD152" s="222"/>
      <c r="VJE152" s="223"/>
      <c r="VJF152" s="223"/>
      <c r="VJG152" s="224"/>
      <c r="VJH152" s="223"/>
      <c r="VJI152" s="223"/>
      <c r="VJJ152" s="223"/>
      <c r="VJK152" s="223"/>
      <c r="VJL152" s="225"/>
      <c r="VJM152" s="220"/>
      <c r="VJN152" s="221"/>
      <c r="VJO152" s="222"/>
      <c r="VJP152" s="222"/>
      <c r="VJQ152" s="223"/>
      <c r="VJR152" s="223"/>
      <c r="VJS152" s="224"/>
      <c r="VJT152" s="223"/>
      <c r="VJU152" s="223"/>
      <c r="VJV152" s="223"/>
      <c r="VJW152" s="223"/>
      <c r="VJX152" s="225"/>
      <c r="VJY152" s="220"/>
      <c r="VJZ152" s="221"/>
      <c r="VKA152" s="222"/>
      <c r="VKB152" s="222"/>
      <c r="VKC152" s="223"/>
      <c r="VKD152" s="223"/>
      <c r="VKE152" s="224"/>
      <c r="VKF152" s="223"/>
      <c r="VKG152" s="223"/>
      <c r="VKH152" s="223"/>
      <c r="VKI152" s="223"/>
      <c r="VKJ152" s="225"/>
      <c r="VKK152" s="220"/>
      <c r="VKL152" s="221"/>
      <c r="VKM152" s="222"/>
      <c r="VKN152" s="222"/>
      <c r="VKO152" s="223"/>
      <c r="VKP152" s="223"/>
      <c r="VKQ152" s="224"/>
      <c r="VKR152" s="223"/>
      <c r="VKS152" s="223"/>
      <c r="VKT152" s="223"/>
      <c r="VKU152" s="223"/>
      <c r="VKV152" s="225"/>
      <c r="VKW152" s="220"/>
      <c r="VKX152" s="221"/>
      <c r="VKY152" s="222"/>
      <c r="VKZ152" s="222"/>
      <c r="VLA152" s="223"/>
      <c r="VLB152" s="223"/>
      <c r="VLC152" s="224"/>
      <c r="VLD152" s="223"/>
      <c r="VLE152" s="223"/>
      <c r="VLF152" s="223"/>
      <c r="VLG152" s="223"/>
      <c r="VLH152" s="225"/>
      <c r="VLI152" s="220"/>
      <c r="VLJ152" s="221"/>
      <c r="VLK152" s="222"/>
      <c r="VLL152" s="222"/>
      <c r="VLM152" s="223"/>
      <c r="VLN152" s="223"/>
      <c r="VLO152" s="224"/>
      <c r="VLP152" s="223"/>
      <c r="VLQ152" s="223"/>
      <c r="VLR152" s="223"/>
      <c r="VLS152" s="223"/>
      <c r="VLT152" s="225"/>
      <c r="VLU152" s="220"/>
      <c r="VLV152" s="221"/>
      <c r="VLW152" s="222"/>
      <c r="VLX152" s="222"/>
      <c r="VLY152" s="223"/>
      <c r="VLZ152" s="223"/>
      <c r="VMA152" s="224"/>
      <c r="VMB152" s="223"/>
      <c r="VMC152" s="223"/>
      <c r="VMD152" s="223"/>
      <c r="VME152" s="223"/>
      <c r="VMF152" s="225"/>
      <c r="VMG152" s="220"/>
      <c r="VMH152" s="221"/>
      <c r="VMI152" s="222"/>
      <c r="VMJ152" s="222"/>
      <c r="VMK152" s="223"/>
      <c r="VML152" s="223"/>
      <c r="VMM152" s="224"/>
      <c r="VMN152" s="223"/>
      <c r="VMO152" s="223"/>
      <c r="VMP152" s="223"/>
      <c r="VMQ152" s="223"/>
      <c r="VMR152" s="225"/>
      <c r="VMS152" s="220"/>
      <c r="VMT152" s="221"/>
      <c r="VMU152" s="222"/>
      <c r="VMV152" s="222"/>
      <c r="VMW152" s="223"/>
      <c r="VMX152" s="223"/>
      <c r="VMY152" s="224"/>
      <c r="VMZ152" s="223"/>
      <c r="VNA152" s="223"/>
      <c r="VNB152" s="223"/>
      <c r="VNC152" s="223"/>
      <c r="VND152" s="225"/>
      <c r="VNE152" s="220"/>
      <c r="VNF152" s="221"/>
      <c r="VNG152" s="222"/>
      <c r="VNH152" s="222"/>
      <c r="VNI152" s="223"/>
      <c r="VNJ152" s="223"/>
      <c r="VNK152" s="224"/>
      <c r="VNL152" s="223"/>
      <c r="VNM152" s="223"/>
      <c r="VNN152" s="223"/>
      <c r="VNO152" s="223"/>
      <c r="VNP152" s="225"/>
      <c r="VNQ152" s="220"/>
      <c r="VNR152" s="221"/>
      <c r="VNS152" s="222"/>
      <c r="VNT152" s="222"/>
      <c r="VNU152" s="223"/>
      <c r="VNV152" s="223"/>
      <c r="VNW152" s="224"/>
      <c r="VNX152" s="223"/>
      <c r="VNY152" s="223"/>
      <c r="VNZ152" s="223"/>
      <c r="VOA152" s="223"/>
      <c r="VOB152" s="225"/>
      <c r="VOC152" s="220"/>
      <c r="VOD152" s="221"/>
      <c r="VOE152" s="222"/>
      <c r="VOF152" s="222"/>
      <c r="VOG152" s="223"/>
      <c r="VOH152" s="223"/>
      <c r="VOI152" s="224"/>
      <c r="VOJ152" s="223"/>
      <c r="VOK152" s="223"/>
      <c r="VOL152" s="223"/>
      <c r="VOM152" s="223"/>
      <c r="VON152" s="225"/>
      <c r="VOO152" s="220"/>
      <c r="VOP152" s="221"/>
      <c r="VOQ152" s="222"/>
      <c r="VOR152" s="222"/>
      <c r="VOS152" s="223"/>
      <c r="VOT152" s="223"/>
      <c r="VOU152" s="224"/>
      <c r="VOV152" s="223"/>
      <c r="VOW152" s="223"/>
      <c r="VOX152" s="223"/>
      <c r="VOY152" s="223"/>
      <c r="VOZ152" s="225"/>
      <c r="VPA152" s="220"/>
      <c r="VPB152" s="221"/>
      <c r="VPC152" s="222"/>
      <c r="VPD152" s="222"/>
      <c r="VPE152" s="223"/>
      <c r="VPF152" s="223"/>
      <c r="VPG152" s="224"/>
      <c r="VPH152" s="223"/>
      <c r="VPI152" s="223"/>
      <c r="VPJ152" s="223"/>
      <c r="VPK152" s="223"/>
      <c r="VPL152" s="225"/>
      <c r="VPM152" s="220"/>
      <c r="VPN152" s="221"/>
      <c r="VPO152" s="222"/>
      <c r="VPP152" s="222"/>
      <c r="VPQ152" s="223"/>
      <c r="VPR152" s="223"/>
      <c r="VPS152" s="224"/>
      <c r="VPT152" s="223"/>
      <c r="VPU152" s="223"/>
      <c r="VPV152" s="223"/>
      <c r="VPW152" s="223"/>
      <c r="VPX152" s="225"/>
      <c r="VPY152" s="220"/>
      <c r="VPZ152" s="221"/>
      <c r="VQA152" s="222"/>
      <c r="VQB152" s="222"/>
      <c r="VQC152" s="223"/>
      <c r="VQD152" s="223"/>
      <c r="VQE152" s="224"/>
      <c r="VQF152" s="223"/>
      <c r="VQG152" s="223"/>
      <c r="VQH152" s="223"/>
      <c r="VQI152" s="223"/>
      <c r="VQJ152" s="225"/>
      <c r="VQK152" s="220"/>
      <c r="VQL152" s="221"/>
      <c r="VQM152" s="222"/>
      <c r="VQN152" s="222"/>
      <c r="VQO152" s="223"/>
      <c r="VQP152" s="223"/>
      <c r="VQQ152" s="224"/>
      <c r="VQR152" s="223"/>
      <c r="VQS152" s="223"/>
      <c r="VQT152" s="223"/>
      <c r="VQU152" s="223"/>
      <c r="VQV152" s="225"/>
      <c r="VQW152" s="220"/>
      <c r="VQX152" s="221"/>
      <c r="VQY152" s="222"/>
      <c r="VQZ152" s="222"/>
      <c r="VRA152" s="223"/>
      <c r="VRB152" s="223"/>
      <c r="VRC152" s="224"/>
      <c r="VRD152" s="223"/>
      <c r="VRE152" s="223"/>
      <c r="VRF152" s="223"/>
      <c r="VRG152" s="223"/>
      <c r="VRH152" s="225"/>
      <c r="VRI152" s="220"/>
      <c r="VRJ152" s="221"/>
      <c r="VRK152" s="222"/>
      <c r="VRL152" s="222"/>
      <c r="VRM152" s="223"/>
      <c r="VRN152" s="223"/>
      <c r="VRO152" s="224"/>
      <c r="VRP152" s="223"/>
      <c r="VRQ152" s="223"/>
      <c r="VRR152" s="223"/>
      <c r="VRS152" s="223"/>
      <c r="VRT152" s="225"/>
      <c r="VRU152" s="220"/>
      <c r="VRV152" s="221"/>
      <c r="VRW152" s="222"/>
      <c r="VRX152" s="222"/>
      <c r="VRY152" s="223"/>
      <c r="VRZ152" s="223"/>
      <c r="VSA152" s="224"/>
      <c r="VSB152" s="223"/>
      <c r="VSC152" s="223"/>
      <c r="VSD152" s="223"/>
      <c r="VSE152" s="223"/>
      <c r="VSF152" s="225"/>
      <c r="VSG152" s="220"/>
      <c r="VSH152" s="221"/>
      <c r="VSI152" s="222"/>
      <c r="VSJ152" s="222"/>
      <c r="VSK152" s="223"/>
      <c r="VSL152" s="223"/>
      <c r="VSM152" s="224"/>
      <c r="VSN152" s="223"/>
      <c r="VSO152" s="223"/>
      <c r="VSP152" s="223"/>
      <c r="VSQ152" s="223"/>
      <c r="VSR152" s="225"/>
      <c r="VSS152" s="220"/>
      <c r="VST152" s="221"/>
      <c r="VSU152" s="222"/>
      <c r="VSV152" s="222"/>
      <c r="VSW152" s="223"/>
      <c r="VSX152" s="223"/>
      <c r="VSY152" s="224"/>
      <c r="VSZ152" s="223"/>
      <c r="VTA152" s="223"/>
      <c r="VTB152" s="223"/>
      <c r="VTC152" s="223"/>
      <c r="VTD152" s="225"/>
      <c r="VTE152" s="220"/>
      <c r="VTF152" s="221"/>
      <c r="VTG152" s="222"/>
      <c r="VTH152" s="222"/>
      <c r="VTI152" s="223"/>
      <c r="VTJ152" s="223"/>
      <c r="VTK152" s="224"/>
      <c r="VTL152" s="223"/>
      <c r="VTM152" s="223"/>
      <c r="VTN152" s="223"/>
      <c r="VTO152" s="223"/>
      <c r="VTP152" s="225"/>
      <c r="VTQ152" s="220"/>
      <c r="VTR152" s="221"/>
      <c r="VTS152" s="222"/>
      <c r="VTT152" s="222"/>
      <c r="VTU152" s="223"/>
      <c r="VTV152" s="223"/>
      <c r="VTW152" s="224"/>
      <c r="VTX152" s="223"/>
      <c r="VTY152" s="223"/>
      <c r="VTZ152" s="223"/>
      <c r="VUA152" s="223"/>
      <c r="VUB152" s="225"/>
      <c r="VUC152" s="220"/>
      <c r="VUD152" s="221"/>
      <c r="VUE152" s="222"/>
      <c r="VUF152" s="222"/>
      <c r="VUG152" s="223"/>
      <c r="VUH152" s="223"/>
      <c r="VUI152" s="224"/>
      <c r="VUJ152" s="223"/>
      <c r="VUK152" s="223"/>
      <c r="VUL152" s="223"/>
      <c r="VUM152" s="223"/>
      <c r="VUN152" s="225"/>
      <c r="VUO152" s="220"/>
      <c r="VUP152" s="221"/>
      <c r="VUQ152" s="222"/>
      <c r="VUR152" s="222"/>
      <c r="VUS152" s="223"/>
      <c r="VUT152" s="223"/>
      <c r="VUU152" s="224"/>
      <c r="VUV152" s="223"/>
      <c r="VUW152" s="223"/>
      <c r="VUX152" s="223"/>
      <c r="VUY152" s="223"/>
      <c r="VUZ152" s="225"/>
      <c r="VVA152" s="220"/>
      <c r="VVB152" s="221"/>
      <c r="VVC152" s="222"/>
      <c r="VVD152" s="222"/>
      <c r="VVE152" s="223"/>
      <c r="VVF152" s="223"/>
      <c r="VVG152" s="224"/>
      <c r="VVH152" s="223"/>
      <c r="VVI152" s="223"/>
      <c r="VVJ152" s="223"/>
      <c r="VVK152" s="223"/>
      <c r="VVL152" s="225"/>
      <c r="VVM152" s="220"/>
      <c r="VVN152" s="221"/>
      <c r="VVO152" s="222"/>
      <c r="VVP152" s="222"/>
      <c r="VVQ152" s="223"/>
      <c r="VVR152" s="223"/>
      <c r="VVS152" s="224"/>
      <c r="VVT152" s="223"/>
      <c r="VVU152" s="223"/>
      <c r="VVV152" s="223"/>
      <c r="VVW152" s="223"/>
      <c r="VVX152" s="225"/>
      <c r="VVY152" s="220"/>
      <c r="VVZ152" s="221"/>
      <c r="VWA152" s="222"/>
      <c r="VWB152" s="222"/>
      <c r="VWC152" s="223"/>
      <c r="VWD152" s="223"/>
      <c r="VWE152" s="224"/>
      <c r="VWF152" s="223"/>
      <c r="VWG152" s="223"/>
      <c r="VWH152" s="223"/>
      <c r="VWI152" s="223"/>
      <c r="VWJ152" s="225"/>
      <c r="VWK152" s="220"/>
      <c r="VWL152" s="221"/>
      <c r="VWM152" s="222"/>
      <c r="VWN152" s="222"/>
      <c r="VWO152" s="223"/>
      <c r="VWP152" s="223"/>
      <c r="VWQ152" s="224"/>
      <c r="VWR152" s="223"/>
      <c r="VWS152" s="223"/>
      <c r="VWT152" s="223"/>
      <c r="VWU152" s="223"/>
      <c r="VWV152" s="225"/>
      <c r="VWW152" s="220"/>
      <c r="VWX152" s="221"/>
      <c r="VWY152" s="222"/>
      <c r="VWZ152" s="222"/>
      <c r="VXA152" s="223"/>
      <c r="VXB152" s="223"/>
      <c r="VXC152" s="224"/>
      <c r="VXD152" s="223"/>
      <c r="VXE152" s="223"/>
      <c r="VXF152" s="223"/>
      <c r="VXG152" s="223"/>
      <c r="VXH152" s="225"/>
      <c r="VXI152" s="220"/>
      <c r="VXJ152" s="221"/>
      <c r="VXK152" s="222"/>
      <c r="VXL152" s="222"/>
      <c r="VXM152" s="223"/>
      <c r="VXN152" s="223"/>
      <c r="VXO152" s="224"/>
      <c r="VXP152" s="223"/>
      <c r="VXQ152" s="223"/>
      <c r="VXR152" s="223"/>
      <c r="VXS152" s="223"/>
      <c r="VXT152" s="225"/>
      <c r="VXU152" s="220"/>
      <c r="VXV152" s="221"/>
      <c r="VXW152" s="222"/>
      <c r="VXX152" s="222"/>
      <c r="VXY152" s="223"/>
      <c r="VXZ152" s="223"/>
      <c r="VYA152" s="224"/>
      <c r="VYB152" s="223"/>
      <c r="VYC152" s="223"/>
      <c r="VYD152" s="223"/>
      <c r="VYE152" s="223"/>
      <c r="VYF152" s="225"/>
      <c r="VYG152" s="220"/>
      <c r="VYH152" s="221"/>
      <c r="VYI152" s="222"/>
      <c r="VYJ152" s="222"/>
      <c r="VYK152" s="223"/>
      <c r="VYL152" s="223"/>
      <c r="VYM152" s="224"/>
      <c r="VYN152" s="223"/>
      <c r="VYO152" s="223"/>
      <c r="VYP152" s="223"/>
      <c r="VYQ152" s="223"/>
      <c r="VYR152" s="225"/>
      <c r="VYS152" s="220"/>
      <c r="VYT152" s="221"/>
      <c r="VYU152" s="222"/>
      <c r="VYV152" s="222"/>
      <c r="VYW152" s="223"/>
      <c r="VYX152" s="223"/>
      <c r="VYY152" s="224"/>
      <c r="VYZ152" s="223"/>
      <c r="VZA152" s="223"/>
      <c r="VZB152" s="223"/>
      <c r="VZC152" s="223"/>
      <c r="VZD152" s="225"/>
      <c r="VZE152" s="220"/>
      <c r="VZF152" s="221"/>
      <c r="VZG152" s="222"/>
      <c r="VZH152" s="222"/>
      <c r="VZI152" s="223"/>
      <c r="VZJ152" s="223"/>
      <c r="VZK152" s="224"/>
      <c r="VZL152" s="223"/>
      <c r="VZM152" s="223"/>
      <c r="VZN152" s="223"/>
      <c r="VZO152" s="223"/>
      <c r="VZP152" s="225"/>
      <c r="VZQ152" s="220"/>
      <c r="VZR152" s="221"/>
      <c r="VZS152" s="222"/>
      <c r="VZT152" s="222"/>
      <c r="VZU152" s="223"/>
      <c r="VZV152" s="223"/>
      <c r="VZW152" s="224"/>
      <c r="VZX152" s="223"/>
      <c r="VZY152" s="223"/>
      <c r="VZZ152" s="223"/>
      <c r="WAA152" s="223"/>
      <c r="WAB152" s="225"/>
      <c r="WAC152" s="220"/>
      <c r="WAD152" s="221"/>
      <c r="WAE152" s="222"/>
      <c r="WAF152" s="222"/>
      <c r="WAG152" s="223"/>
      <c r="WAH152" s="223"/>
      <c r="WAI152" s="224"/>
      <c r="WAJ152" s="223"/>
      <c r="WAK152" s="223"/>
      <c r="WAL152" s="223"/>
      <c r="WAM152" s="223"/>
      <c r="WAN152" s="225"/>
      <c r="WAO152" s="220"/>
      <c r="WAP152" s="221"/>
      <c r="WAQ152" s="222"/>
      <c r="WAR152" s="222"/>
      <c r="WAS152" s="223"/>
      <c r="WAT152" s="223"/>
      <c r="WAU152" s="224"/>
      <c r="WAV152" s="223"/>
      <c r="WAW152" s="223"/>
      <c r="WAX152" s="223"/>
      <c r="WAY152" s="223"/>
      <c r="WAZ152" s="225"/>
      <c r="WBA152" s="220"/>
      <c r="WBB152" s="221"/>
      <c r="WBC152" s="222"/>
      <c r="WBD152" s="222"/>
      <c r="WBE152" s="223"/>
      <c r="WBF152" s="223"/>
      <c r="WBG152" s="224"/>
      <c r="WBH152" s="223"/>
      <c r="WBI152" s="223"/>
      <c r="WBJ152" s="223"/>
      <c r="WBK152" s="223"/>
      <c r="WBL152" s="225"/>
      <c r="WBM152" s="220"/>
      <c r="WBN152" s="221"/>
      <c r="WBO152" s="222"/>
      <c r="WBP152" s="222"/>
      <c r="WBQ152" s="223"/>
      <c r="WBR152" s="223"/>
      <c r="WBS152" s="224"/>
      <c r="WBT152" s="223"/>
      <c r="WBU152" s="223"/>
      <c r="WBV152" s="223"/>
      <c r="WBW152" s="223"/>
      <c r="WBX152" s="225"/>
      <c r="WBY152" s="220"/>
      <c r="WBZ152" s="221"/>
      <c r="WCA152" s="222"/>
      <c r="WCB152" s="222"/>
      <c r="WCC152" s="223"/>
      <c r="WCD152" s="223"/>
      <c r="WCE152" s="224"/>
      <c r="WCF152" s="223"/>
      <c r="WCG152" s="223"/>
      <c r="WCH152" s="223"/>
      <c r="WCI152" s="223"/>
      <c r="WCJ152" s="225"/>
      <c r="WCK152" s="220"/>
      <c r="WCL152" s="221"/>
      <c r="WCM152" s="222"/>
      <c r="WCN152" s="222"/>
      <c r="WCO152" s="223"/>
      <c r="WCP152" s="223"/>
      <c r="WCQ152" s="224"/>
      <c r="WCR152" s="223"/>
      <c r="WCS152" s="223"/>
      <c r="WCT152" s="223"/>
      <c r="WCU152" s="223"/>
      <c r="WCV152" s="225"/>
      <c r="WCW152" s="220"/>
      <c r="WCX152" s="221"/>
      <c r="WCY152" s="222"/>
      <c r="WCZ152" s="222"/>
      <c r="WDA152" s="223"/>
      <c r="WDB152" s="223"/>
      <c r="WDC152" s="224"/>
      <c r="WDD152" s="223"/>
      <c r="WDE152" s="223"/>
      <c r="WDF152" s="223"/>
      <c r="WDG152" s="223"/>
      <c r="WDH152" s="225"/>
      <c r="WDI152" s="220"/>
      <c r="WDJ152" s="221"/>
      <c r="WDK152" s="222"/>
      <c r="WDL152" s="222"/>
      <c r="WDM152" s="223"/>
      <c r="WDN152" s="223"/>
      <c r="WDO152" s="224"/>
      <c r="WDP152" s="223"/>
      <c r="WDQ152" s="223"/>
      <c r="WDR152" s="223"/>
      <c r="WDS152" s="223"/>
      <c r="WDT152" s="225"/>
      <c r="WDU152" s="220"/>
      <c r="WDV152" s="221"/>
      <c r="WDW152" s="222"/>
      <c r="WDX152" s="222"/>
      <c r="WDY152" s="223"/>
      <c r="WDZ152" s="223"/>
      <c r="WEA152" s="224"/>
      <c r="WEB152" s="223"/>
      <c r="WEC152" s="223"/>
      <c r="WED152" s="223"/>
      <c r="WEE152" s="223"/>
      <c r="WEF152" s="225"/>
      <c r="WEG152" s="220"/>
      <c r="WEH152" s="221"/>
      <c r="WEI152" s="222"/>
      <c r="WEJ152" s="222"/>
      <c r="WEK152" s="223"/>
      <c r="WEL152" s="223"/>
      <c r="WEM152" s="224"/>
      <c r="WEN152" s="223"/>
      <c r="WEO152" s="223"/>
      <c r="WEP152" s="223"/>
      <c r="WEQ152" s="223"/>
      <c r="WER152" s="225"/>
      <c r="WES152" s="220"/>
      <c r="WET152" s="221"/>
      <c r="WEU152" s="222"/>
      <c r="WEV152" s="222"/>
      <c r="WEW152" s="223"/>
      <c r="WEX152" s="223"/>
      <c r="WEY152" s="224"/>
      <c r="WEZ152" s="223"/>
      <c r="WFA152" s="223"/>
      <c r="WFB152" s="223"/>
      <c r="WFC152" s="223"/>
      <c r="WFD152" s="225"/>
      <c r="WFE152" s="220"/>
      <c r="WFF152" s="221"/>
      <c r="WFG152" s="222"/>
      <c r="WFH152" s="222"/>
      <c r="WFI152" s="223"/>
      <c r="WFJ152" s="223"/>
      <c r="WFK152" s="224"/>
      <c r="WFL152" s="223"/>
      <c r="WFM152" s="223"/>
      <c r="WFN152" s="223"/>
      <c r="WFO152" s="223"/>
      <c r="WFP152" s="225"/>
      <c r="WFQ152" s="220"/>
      <c r="WFR152" s="221"/>
      <c r="WFS152" s="222"/>
      <c r="WFT152" s="222"/>
      <c r="WFU152" s="223"/>
      <c r="WFV152" s="223"/>
      <c r="WFW152" s="224"/>
      <c r="WFX152" s="223"/>
      <c r="WFY152" s="223"/>
      <c r="WFZ152" s="223"/>
      <c r="WGA152" s="223"/>
      <c r="WGB152" s="225"/>
      <c r="WGC152" s="220"/>
      <c r="WGD152" s="221"/>
      <c r="WGE152" s="222"/>
      <c r="WGF152" s="222"/>
      <c r="WGG152" s="223"/>
      <c r="WGH152" s="223"/>
      <c r="WGI152" s="224"/>
      <c r="WGJ152" s="223"/>
      <c r="WGK152" s="223"/>
      <c r="WGL152" s="223"/>
      <c r="WGM152" s="223"/>
      <c r="WGN152" s="225"/>
      <c r="WGO152" s="220"/>
      <c r="WGP152" s="221"/>
      <c r="WGQ152" s="222"/>
      <c r="WGR152" s="222"/>
      <c r="WGS152" s="223"/>
      <c r="WGT152" s="223"/>
      <c r="WGU152" s="224"/>
      <c r="WGV152" s="223"/>
      <c r="WGW152" s="223"/>
      <c r="WGX152" s="223"/>
      <c r="WGY152" s="223"/>
      <c r="WGZ152" s="225"/>
      <c r="WHA152" s="220"/>
      <c r="WHB152" s="221"/>
      <c r="WHC152" s="222"/>
      <c r="WHD152" s="222"/>
      <c r="WHE152" s="223"/>
      <c r="WHF152" s="223"/>
      <c r="WHG152" s="224"/>
      <c r="WHH152" s="223"/>
      <c r="WHI152" s="223"/>
      <c r="WHJ152" s="223"/>
      <c r="WHK152" s="223"/>
      <c r="WHL152" s="225"/>
      <c r="WHM152" s="220"/>
      <c r="WHN152" s="221"/>
      <c r="WHO152" s="222"/>
      <c r="WHP152" s="222"/>
      <c r="WHQ152" s="223"/>
      <c r="WHR152" s="223"/>
      <c r="WHS152" s="224"/>
      <c r="WHT152" s="223"/>
      <c r="WHU152" s="223"/>
      <c r="WHV152" s="223"/>
      <c r="WHW152" s="223"/>
      <c r="WHX152" s="225"/>
      <c r="WHY152" s="220"/>
      <c r="WHZ152" s="221"/>
      <c r="WIA152" s="222"/>
      <c r="WIB152" s="222"/>
      <c r="WIC152" s="223"/>
      <c r="WID152" s="223"/>
      <c r="WIE152" s="224"/>
      <c r="WIF152" s="223"/>
      <c r="WIG152" s="223"/>
      <c r="WIH152" s="223"/>
      <c r="WII152" s="223"/>
      <c r="WIJ152" s="225"/>
      <c r="WIK152" s="220"/>
      <c r="WIL152" s="221"/>
      <c r="WIM152" s="222"/>
      <c r="WIN152" s="222"/>
      <c r="WIO152" s="223"/>
      <c r="WIP152" s="223"/>
      <c r="WIQ152" s="224"/>
      <c r="WIR152" s="223"/>
      <c r="WIS152" s="223"/>
      <c r="WIT152" s="223"/>
      <c r="WIU152" s="223"/>
      <c r="WIV152" s="225"/>
      <c r="WIW152" s="220"/>
      <c r="WIX152" s="221"/>
      <c r="WIY152" s="222"/>
      <c r="WIZ152" s="222"/>
      <c r="WJA152" s="223"/>
      <c r="WJB152" s="223"/>
      <c r="WJC152" s="224"/>
      <c r="WJD152" s="223"/>
      <c r="WJE152" s="223"/>
      <c r="WJF152" s="223"/>
      <c r="WJG152" s="223"/>
      <c r="WJH152" s="225"/>
      <c r="WJI152" s="220"/>
      <c r="WJJ152" s="221"/>
      <c r="WJK152" s="222"/>
      <c r="WJL152" s="222"/>
      <c r="WJM152" s="223"/>
      <c r="WJN152" s="223"/>
      <c r="WJO152" s="224"/>
      <c r="WJP152" s="223"/>
      <c r="WJQ152" s="223"/>
      <c r="WJR152" s="223"/>
      <c r="WJS152" s="223"/>
      <c r="WJT152" s="225"/>
      <c r="WJU152" s="220"/>
      <c r="WJV152" s="221"/>
      <c r="WJW152" s="222"/>
      <c r="WJX152" s="222"/>
      <c r="WJY152" s="223"/>
      <c r="WJZ152" s="223"/>
      <c r="WKA152" s="224"/>
      <c r="WKB152" s="223"/>
      <c r="WKC152" s="223"/>
      <c r="WKD152" s="223"/>
      <c r="WKE152" s="223"/>
      <c r="WKF152" s="225"/>
      <c r="WKG152" s="220"/>
      <c r="WKH152" s="221"/>
      <c r="WKI152" s="222"/>
      <c r="WKJ152" s="222"/>
      <c r="WKK152" s="223"/>
      <c r="WKL152" s="223"/>
      <c r="WKM152" s="224"/>
      <c r="WKN152" s="223"/>
      <c r="WKO152" s="223"/>
      <c r="WKP152" s="223"/>
      <c r="WKQ152" s="223"/>
      <c r="WKR152" s="225"/>
      <c r="WKS152" s="220"/>
      <c r="WKT152" s="221"/>
      <c r="WKU152" s="222"/>
      <c r="WKV152" s="222"/>
      <c r="WKW152" s="223"/>
      <c r="WKX152" s="223"/>
      <c r="WKY152" s="224"/>
      <c r="WKZ152" s="223"/>
      <c r="WLA152" s="223"/>
      <c r="WLB152" s="223"/>
      <c r="WLC152" s="223"/>
      <c r="WLD152" s="225"/>
      <c r="WLE152" s="220"/>
      <c r="WLF152" s="221"/>
      <c r="WLG152" s="222"/>
      <c r="WLH152" s="222"/>
      <c r="WLI152" s="223"/>
      <c r="WLJ152" s="223"/>
      <c r="WLK152" s="224"/>
      <c r="WLL152" s="223"/>
      <c r="WLM152" s="223"/>
      <c r="WLN152" s="223"/>
      <c r="WLO152" s="223"/>
      <c r="WLP152" s="225"/>
      <c r="WLQ152" s="220"/>
      <c r="WLR152" s="221"/>
      <c r="WLS152" s="222"/>
      <c r="WLT152" s="222"/>
      <c r="WLU152" s="223"/>
      <c r="WLV152" s="223"/>
      <c r="WLW152" s="224"/>
      <c r="WLX152" s="223"/>
      <c r="WLY152" s="223"/>
      <c r="WLZ152" s="223"/>
      <c r="WMA152" s="223"/>
      <c r="WMB152" s="225"/>
      <c r="WMC152" s="220"/>
      <c r="WMD152" s="221"/>
      <c r="WME152" s="222"/>
      <c r="WMF152" s="222"/>
      <c r="WMG152" s="223"/>
      <c r="WMH152" s="223"/>
      <c r="WMI152" s="224"/>
      <c r="WMJ152" s="223"/>
      <c r="WMK152" s="223"/>
      <c r="WML152" s="223"/>
      <c r="WMM152" s="223"/>
      <c r="WMN152" s="225"/>
      <c r="WMO152" s="220"/>
      <c r="WMP152" s="221"/>
      <c r="WMQ152" s="222"/>
      <c r="WMR152" s="222"/>
      <c r="WMS152" s="223"/>
      <c r="WMT152" s="223"/>
      <c r="WMU152" s="224"/>
      <c r="WMV152" s="223"/>
      <c r="WMW152" s="223"/>
      <c r="WMX152" s="223"/>
      <c r="WMY152" s="223"/>
      <c r="WMZ152" s="225"/>
      <c r="WNA152" s="220"/>
      <c r="WNB152" s="221"/>
      <c r="WNC152" s="222"/>
      <c r="WND152" s="222"/>
      <c r="WNE152" s="223"/>
      <c r="WNF152" s="223"/>
      <c r="WNG152" s="224"/>
      <c r="WNH152" s="223"/>
      <c r="WNI152" s="223"/>
      <c r="WNJ152" s="223"/>
      <c r="WNK152" s="223"/>
      <c r="WNL152" s="225"/>
      <c r="WNM152" s="220"/>
      <c r="WNN152" s="221"/>
      <c r="WNO152" s="222"/>
      <c r="WNP152" s="222"/>
      <c r="WNQ152" s="223"/>
      <c r="WNR152" s="223"/>
      <c r="WNS152" s="224"/>
      <c r="WNT152" s="223"/>
      <c r="WNU152" s="223"/>
      <c r="WNV152" s="223"/>
      <c r="WNW152" s="223"/>
      <c r="WNX152" s="225"/>
      <c r="WNY152" s="220"/>
      <c r="WNZ152" s="221"/>
      <c r="WOA152" s="222"/>
      <c r="WOB152" s="222"/>
      <c r="WOC152" s="223"/>
      <c r="WOD152" s="223"/>
      <c r="WOE152" s="224"/>
      <c r="WOF152" s="223"/>
      <c r="WOG152" s="223"/>
      <c r="WOH152" s="223"/>
      <c r="WOI152" s="223"/>
      <c r="WOJ152" s="225"/>
      <c r="WOK152" s="220"/>
      <c r="WOL152" s="221"/>
      <c r="WOM152" s="222"/>
      <c r="WON152" s="222"/>
      <c r="WOO152" s="223"/>
      <c r="WOP152" s="223"/>
      <c r="WOQ152" s="224"/>
      <c r="WOR152" s="223"/>
      <c r="WOS152" s="223"/>
      <c r="WOT152" s="223"/>
      <c r="WOU152" s="223"/>
      <c r="WOV152" s="225"/>
      <c r="WOW152" s="220"/>
      <c r="WOX152" s="221"/>
      <c r="WOY152" s="222"/>
      <c r="WOZ152" s="222"/>
      <c r="WPA152" s="223"/>
      <c r="WPB152" s="223"/>
      <c r="WPC152" s="224"/>
      <c r="WPD152" s="223"/>
      <c r="WPE152" s="223"/>
      <c r="WPF152" s="223"/>
      <c r="WPG152" s="223"/>
      <c r="WPH152" s="225"/>
      <c r="WPI152" s="220"/>
      <c r="WPJ152" s="221"/>
      <c r="WPK152" s="222"/>
      <c r="WPL152" s="222"/>
      <c r="WPM152" s="223"/>
      <c r="WPN152" s="223"/>
      <c r="WPO152" s="224"/>
      <c r="WPP152" s="223"/>
      <c r="WPQ152" s="223"/>
      <c r="WPR152" s="223"/>
      <c r="WPS152" s="223"/>
      <c r="WPT152" s="225"/>
      <c r="WPU152" s="220"/>
      <c r="WPV152" s="221"/>
      <c r="WPW152" s="222"/>
      <c r="WPX152" s="222"/>
      <c r="WPY152" s="223"/>
      <c r="WPZ152" s="223"/>
      <c r="WQA152" s="224"/>
      <c r="WQB152" s="223"/>
      <c r="WQC152" s="223"/>
      <c r="WQD152" s="223"/>
      <c r="WQE152" s="223"/>
      <c r="WQF152" s="225"/>
      <c r="WQG152" s="220"/>
      <c r="WQH152" s="221"/>
      <c r="WQI152" s="222"/>
      <c r="WQJ152" s="222"/>
      <c r="WQK152" s="223"/>
      <c r="WQL152" s="223"/>
      <c r="WQM152" s="224"/>
      <c r="WQN152" s="223"/>
      <c r="WQO152" s="223"/>
      <c r="WQP152" s="223"/>
      <c r="WQQ152" s="223"/>
      <c r="WQR152" s="225"/>
      <c r="WQS152" s="220"/>
      <c r="WQT152" s="221"/>
      <c r="WQU152" s="222"/>
      <c r="WQV152" s="222"/>
      <c r="WQW152" s="223"/>
      <c r="WQX152" s="223"/>
      <c r="WQY152" s="224"/>
      <c r="WQZ152" s="223"/>
      <c r="WRA152" s="223"/>
      <c r="WRB152" s="223"/>
      <c r="WRC152" s="223"/>
      <c r="WRD152" s="225"/>
      <c r="WRE152" s="220"/>
      <c r="WRF152" s="221"/>
      <c r="WRG152" s="222"/>
      <c r="WRH152" s="222"/>
      <c r="WRI152" s="223"/>
      <c r="WRJ152" s="223"/>
      <c r="WRK152" s="224"/>
      <c r="WRL152" s="223"/>
      <c r="WRM152" s="223"/>
      <c r="WRN152" s="223"/>
      <c r="WRO152" s="223"/>
      <c r="WRP152" s="225"/>
      <c r="WRQ152" s="220"/>
      <c r="WRR152" s="221"/>
      <c r="WRS152" s="222"/>
      <c r="WRT152" s="222"/>
      <c r="WRU152" s="223"/>
      <c r="WRV152" s="223"/>
      <c r="WRW152" s="224"/>
      <c r="WRX152" s="223"/>
      <c r="WRY152" s="223"/>
      <c r="WRZ152" s="223"/>
      <c r="WSA152" s="223"/>
      <c r="WSB152" s="225"/>
      <c r="WSC152" s="220"/>
      <c r="WSD152" s="221"/>
      <c r="WSE152" s="222"/>
      <c r="WSF152" s="222"/>
      <c r="WSG152" s="223"/>
      <c r="WSH152" s="223"/>
      <c r="WSI152" s="224"/>
      <c r="WSJ152" s="223"/>
      <c r="WSK152" s="223"/>
      <c r="WSL152" s="223"/>
      <c r="WSM152" s="223"/>
      <c r="WSN152" s="225"/>
      <c r="WSO152" s="220"/>
      <c r="WSP152" s="221"/>
      <c r="WSQ152" s="222"/>
      <c r="WSR152" s="222"/>
      <c r="WSS152" s="223"/>
      <c r="WST152" s="223"/>
      <c r="WSU152" s="224"/>
      <c r="WSV152" s="223"/>
      <c r="WSW152" s="223"/>
      <c r="WSX152" s="223"/>
      <c r="WSY152" s="223"/>
      <c r="WSZ152" s="225"/>
      <c r="WTA152" s="220"/>
      <c r="WTB152" s="221"/>
      <c r="WTC152" s="222"/>
      <c r="WTD152" s="222"/>
      <c r="WTE152" s="223"/>
      <c r="WTF152" s="223"/>
      <c r="WTG152" s="224"/>
      <c r="WTH152" s="223"/>
      <c r="WTI152" s="223"/>
      <c r="WTJ152" s="223"/>
      <c r="WTK152" s="223"/>
      <c r="WTL152" s="225"/>
      <c r="WTM152" s="220"/>
      <c r="WTN152" s="221"/>
      <c r="WTO152" s="222"/>
      <c r="WTP152" s="222"/>
      <c r="WTQ152" s="223"/>
      <c r="WTR152" s="223"/>
      <c r="WTS152" s="224"/>
      <c r="WTT152" s="223"/>
      <c r="WTU152" s="223"/>
      <c r="WTV152" s="223"/>
      <c r="WTW152" s="223"/>
      <c r="WTX152" s="225"/>
      <c r="WTY152" s="220"/>
      <c r="WTZ152" s="221"/>
      <c r="WUA152" s="222"/>
      <c r="WUB152" s="222"/>
      <c r="WUC152" s="223"/>
      <c r="WUD152" s="223"/>
      <c r="WUE152" s="224"/>
      <c r="WUF152" s="223"/>
      <c r="WUG152" s="223"/>
      <c r="WUH152" s="223"/>
      <c r="WUI152" s="223"/>
      <c r="WUJ152" s="225"/>
      <c r="WUK152" s="220"/>
      <c r="WUL152" s="221"/>
      <c r="WUM152" s="222"/>
      <c r="WUN152" s="222"/>
      <c r="WUO152" s="223"/>
      <c r="WUP152" s="223"/>
      <c r="WUQ152" s="224"/>
      <c r="WUR152" s="223"/>
      <c r="WUS152" s="223"/>
      <c r="WUT152" s="223"/>
      <c r="WUU152" s="223"/>
      <c r="WUV152" s="225"/>
      <c r="WUW152" s="220"/>
      <c r="WUX152" s="221"/>
      <c r="WUY152" s="222"/>
      <c r="WUZ152" s="222"/>
      <c r="WVA152" s="223"/>
      <c r="WVB152" s="223"/>
      <c r="WVC152" s="224"/>
      <c r="WVD152" s="223"/>
      <c r="WVE152" s="223"/>
      <c r="WVF152" s="223"/>
      <c r="WVG152" s="223"/>
      <c r="WVH152" s="225"/>
      <c r="WVI152" s="220"/>
      <c r="WVJ152" s="221"/>
      <c r="WVK152" s="222"/>
      <c r="WVL152" s="222"/>
      <c r="WVM152" s="223"/>
      <c r="WVN152" s="223"/>
      <c r="WVO152" s="224"/>
      <c r="WVP152" s="223"/>
      <c r="WVQ152" s="223"/>
      <c r="WVR152" s="223"/>
      <c r="WVS152" s="223"/>
      <c r="WVT152" s="225"/>
      <c r="WVU152" s="220"/>
      <c r="WVV152" s="221"/>
      <c r="WVW152" s="222"/>
      <c r="WVX152" s="222"/>
      <c r="WVY152" s="223"/>
      <c r="WVZ152" s="223"/>
      <c r="WWA152" s="224"/>
      <c r="WWB152" s="223"/>
      <c r="WWC152" s="223"/>
      <c r="WWD152" s="223"/>
      <c r="WWE152" s="223"/>
      <c r="WWF152" s="225"/>
      <c r="WWG152" s="220"/>
      <c r="WWH152" s="221"/>
      <c r="WWI152" s="222"/>
      <c r="WWJ152" s="222"/>
      <c r="WWK152" s="223"/>
      <c r="WWL152" s="223"/>
      <c r="WWM152" s="224"/>
      <c r="WWN152" s="223"/>
      <c r="WWO152" s="223"/>
      <c r="WWP152" s="223"/>
      <c r="WWQ152" s="223"/>
      <c r="WWR152" s="225"/>
      <c r="WWS152" s="220"/>
      <c r="WWT152" s="221"/>
      <c r="WWU152" s="222"/>
      <c r="WWV152" s="222"/>
      <c r="WWW152" s="223"/>
      <c r="WWX152" s="223"/>
      <c r="WWY152" s="224"/>
      <c r="WWZ152" s="223"/>
      <c r="WXA152" s="223"/>
      <c r="WXB152" s="223"/>
      <c r="WXC152" s="223"/>
      <c r="WXD152" s="225"/>
      <c r="WXE152" s="220"/>
      <c r="WXF152" s="221"/>
      <c r="WXG152" s="222"/>
      <c r="WXH152" s="222"/>
      <c r="WXI152" s="223"/>
      <c r="WXJ152" s="223"/>
      <c r="WXK152" s="224"/>
      <c r="WXL152" s="223"/>
      <c r="WXM152" s="223"/>
      <c r="WXN152" s="223"/>
      <c r="WXO152" s="223"/>
      <c r="WXP152" s="225"/>
      <c r="WXQ152" s="220"/>
      <c r="WXR152" s="221"/>
      <c r="WXS152" s="222"/>
      <c r="WXT152" s="222"/>
      <c r="WXU152" s="223"/>
      <c r="WXV152" s="223"/>
      <c r="WXW152" s="224"/>
      <c r="WXX152" s="223"/>
      <c r="WXY152" s="223"/>
      <c r="WXZ152" s="223"/>
      <c r="WYA152" s="223"/>
      <c r="WYB152" s="225"/>
      <c r="WYC152" s="220"/>
      <c r="WYD152" s="221"/>
      <c r="WYE152" s="222"/>
      <c r="WYF152" s="222"/>
      <c r="WYG152" s="223"/>
      <c r="WYH152" s="223"/>
      <c r="WYI152" s="224"/>
      <c r="WYJ152" s="223"/>
      <c r="WYK152" s="223"/>
      <c r="WYL152" s="223"/>
      <c r="WYM152" s="223"/>
      <c r="WYN152" s="225"/>
      <c r="WYO152" s="220"/>
      <c r="WYP152" s="221"/>
      <c r="WYQ152" s="222"/>
      <c r="WYR152" s="222"/>
      <c r="WYS152" s="223"/>
      <c r="WYT152" s="223"/>
      <c r="WYU152" s="224"/>
      <c r="WYV152" s="223"/>
      <c r="WYW152" s="223"/>
      <c r="WYX152" s="223"/>
      <c r="WYY152" s="223"/>
      <c r="WYZ152" s="225"/>
      <c r="WZA152" s="220"/>
      <c r="WZB152" s="221"/>
      <c r="WZC152" s="222"/>
      <c r="WZD152" s="222"/>
      <c r="WZE152" s="223"/>
      <c r="WZF152" s="223"/>
      <c r="WZG152" s="224"/>
      <c r="WZH152" s="223"/>
      <c r="WZI152" s="223"/>
      <c r="WZJ152" s="223"/>
      <c r="WZK152" s="223"/>
      <c r="WZL152" s="225"/>
      <c r="WZM152" s="220"/>
      <c r="WZN152" s="221"/>
      <c r="WZO152" s="222"/>
      <c r="WZP152" s="222"/>
      <c r="WZQ152" s="223"/>
      <c r="WZR152" s="223"/>
      <c r="WZS152" s="224"/>
      <c r="WZT152" s="223"/>
      <c r="WZU152" s="223"/>
      <c r="WZV152" s="223"/>
      <c r="WZW152" s="223"/>
      <c r="WZX152" s="225"/>
      <c r="WZY152" s="220"/>
      <c r="WZZ152" s="221"/>
      <c r="XAA152" s="222"/>
      <c r="XAB152" s="222"/>
      <c r="XAC152" s="223"/>
      <c r="XAD152" s="223"/>
      <c r="XAE152" s="224"/>
      <c r="XAF152" s="223"/>
      <c r="XAG152" s="223"/>
      <c r="XAH152" s="223"/>
      <c r="XAI152" s="223"/>
      <c r="XAJ152" s="225"/>
      <c r="XAK152" s="220"/>
      <c r="XAL152" s="221"/>
      <c r="XAM152" s="222"/>
      <c r="XAN152" s="222"/>
      <c r="XAO152" s="223"/>
      <c r="XAP152" s="223"/>
      <c r="XAQ152" s="224"/>
      <c r="XAR152" s="223"/>
      <c r="XAS152" s="223"/>
      <c r="XAT152" s="223"/>
      <c r="XAU152" s="223"/>
      <c r="XAV152" s="225"/>
      <c r="XAW152" s="220"/>
      <c r="XAX152" s="221"/>
      <c r="XAY152" s="222"/>
      <c r="XAZ152" s="222"/>
      <c r="XBA152" s="223"/>
      <c r="XBB152" s="223"/>
      <c r="XBC152" s="224"/>
      <c r="XBD152" s="223"/>
      <c r="XBE152" s="223"/>
      <c r="XBF152" s="223"/>
      <c r="XBG152" s="223"/>
      <c r="XBH152" s="225"/>
      <c r="XBI152" s="220"/>
      <c r="XBJ152" s="221"/>
      <c r="XBK152" s="222"/>
      <c r="XBL152" s="222"/>
      <c r="XBM152" s="223"/>
      <c r="XBN152" s="223"/>
      <c r="XBO152" s="224"/>
      <c r="XBP152" s="223"/>
      <c r="XBQ152" s="223"/>
      <c r="XBR152" s="223"/>
      <c r="XBS152" s="223"/>
      <c r="XBT152" s="225"/>
      <c r="XBU152" s="220"/>
      <c r="XBV152" s="221"/>
      <c r="XBW152" s="222"/>
      <c r="XBX152" s="222"/>
      <c r="XBY152" s="223"/>
      <c r="XBZ152" s="223"/>
      <c r="XCA152" s="224"/>
      <c r="XCB152" s="223"/>
      <c r="XCC152" s="223"/>
      <c r="XCD152" s="223"/>
      <c r="XCE152" s="223"/>
      <c r="XCF152" s="225"/>
      <c r="XCG152" s="220"/>
      <c r="XCH152" s="221"/>
      <c r="XCI152" s="222"/>
      <c r="XCJ152" s="222"/>
      <c r="XCK152" s="223"/>
      <c r="XCL152" s="223"/>
      <c r="XCM152" s="224"/>
      <c r="XCN152" s="223"/>
      <c r="XCO152" s="223"/>
      <c r="XCP152" s="223"/>
      <c r="XCQ152" s="223"/>
      <c r="XCR152" s="225"/>
      <c r="XCS152" s="220"/>
      <c r="XCT152" s="221"/>
      <c r="XCU152" s="222"/>
      <c r="XCV152" s="222"/>
      <c r="XCW152" s="223"/>
      <c r="XCX152" s="223"/>
      <c r="XCY152" s="224"/>
      <c r="XCZ152" s="223"/>
      <c r="XDA152" s="223"/>
      <c r="XDB152" s="223"/>
      <c r="XDC152" s="223"/>
      <c r="XDD152" s="225"/>
      <c r="XDE152" s="220"/>
      <c r="XDF152" s="221"/>
      <c r="XDG152" s="222"/>
      <c r="XDH152" s="222"/>
      <c r="XDI152" s="223"/>
      <c r="XDJ152" s="223"/>
      <c r="XDK152" s="224"/>
      <c r="XDL152" s="223"/>
      <c r="XDM152" s="223"/>
      <c r="XDN152" s="223"/>
      <c r="XDO152" s="223"/>
      <c r="XDP152" s="225"/>
      <c r="XDQ152" s="220"/>
      <c r="XDR152" s="221"/>
      <c r="XDS152" s="222"/>
      <c r="XDT152" s="222"/>
      <c r="XDU152" s="223"/>
      <c r="XDV152" s="223"/>
      <c r="XDW152" s="224"/>
      <c r="XDX152" s="223"/>
      <c r="XDY152" s="223"/>
      <c r="XDZ152" s="223"/>
      <c r="XEA152" s="223"/>
      <c r="XEB152" s="225"/>
      <c r="XEC152" s="220"/>
      <c r="XED152" s="221"/>
      <c r="XEE152" s="222"/>
      <c r="XEF152" s="222"/>
      <c r="XEG152" s="223"/>
      <c r="XEH152" s="223"/>
      <c r="XEI152" s="224"/>
      <c r="XEJ152" s="223"/>
      <c r="XEK152" s="223"/>
      <c r="XEL152" s="223"/>
      <c r="XEM152" s="223"/>
      <c r="XEN152" s="225"/>
      <c r="XEO152" s="220"/>
      <c r="XEP152" s="221"/>
      <c r="XEQ152" s="222"/>
      <c r="XER152" s="222"/>
      <c r="XES152" s="223"/>
      <c r="XET152" s="223"/>
      <c r="XEU152" s="224"/>
      <c r="XEV152" s="223"/>
      <c r="XEW152" s="223"/>
      <c r="XEX152" s="223"/>
      <c r="XEY152" s="223"/>
      <c r="XEZ152" s="225"/>
      <c r="XFA152" s="220"/>
      <c r="XFB152" s="221"/>
      <c r="XFC152" s="222"/>
      <c r="XFD152" s="222"/>
    </row>
    <row r="153" spans="1:16384" s="158" customFormat="1" ht="27.75" customHeight="1" x14ac:dyDescent="0.3">
      <c r="A153" s="194">
        <v>1</v>
      </c>
      <c r="B153" s="137" t="s">
        <v>336</v>
      </c>
      <c r="C153" s="134" t="s">
        <v>33</v>
      </c>
      <c r="D153" s="75"/>
      <c r="E153" s="76">
        <v>33.6</v>
      </c>
      <c r="F153" s="435"/>
      <c r="G153" s="76"/>
      <c r="H153" s="76"/>
      <c r="I153" s="76"/>
      <c r="J153" s="76"/>
      <c r="K153" s="76"/>
      <c r="L153" s="77"/>
    </row>
    <row r="154" spans="1:16384" s="158" customFormat="1" ht="13.8" x14ac:dyDescent="0.3">
      <c r="A154" s="78"/>
      <c r="B154" s="24" t="s">
        <v>8</v>
      </c>
      <c r="C154" s="79" t="s">
        <v>33</v>
      </c>
      <c r="D154" s="79">
        <v>1</v>
      </c>
      <c r="E154" s="58"/>
      <c r="F154" s="271"/>
      <c r="G154" s="56"/>
      <c r="H154" s="58"/>
      <c r="I154" s="58"/>
      <c r="J154" s="58"/>
      <c r="K154" s="58"/>
      <c r="L154" s="57"/>
    </row>
    <row r="155" spans="1:16384" s="158" customFormat="1" ht="13.8" x14ac:dyDescent="0.3">
      <c r="A155" s="78"/>
      <c r="B155" s="24" t="s">
        <v>10</v>
      </c>
      <c r="C155" s="79" t="s">
        <v>15</v>
      </c>
      <c r="D155" s="79">
        <v>0.03</v>
      </c>
      <c r="E155" s="58"/>
      <c r="F155" s="271"/>
      <c r="G155" s="56"/>
      <c r="H155" s="58"/>
      <c r="I155" s="58"/>
      <c r="J155" s="58"/>
      <c r="K155" s="58"/>
      <c r="L155" s="57"/>
    </row>
    <row r="156" spans="1:16384" s="158" customFormat="1" ht="13.8" x14ac:dyDescent="0.3">
      <c r="A156" s="78"/>
      <c r="B156" s="24" t="s">
        <v>12</v>
      </c>
      <c r="C156" s="79"/>
      <c r="D156" s="79"/>
      <c r="E156" s="58"/>
      <c r="F156" s="271"/>
      <c r="G156" s="56"/>
      <c r="H156" s="58"/>
      <c r="I156" s="58"/>
      <c r="J156" s="58"/>
      <c r="K156" s="58"/>
      <c r="L156" s="57"/>
    </row>
    <row r="157" spans="1:16384" s="158" customFormat="1" ht="15" x14ac:dyDescent="0.3">
      <c r="A157" s="78"/>
      <c r="B157" s="24" t="s">
        <v>339</v>
      </c>
      <c r="C157" s="79" t="s">
        <v>33</v>
      </c>
      <c r="D157" s="79">
        <v>1.05</v>
      </c>
      <c r="E157" s="58"/>
      <c r="F157" s="271"/>
      <c r="G157" s="56"/>
      <c r="H157" s="58"/>
      <c r="I157" s="58"/>
      <c r="J157" s="58"/>
      <c r="K157" s="58"/>
      <c r="L157" s="57"/>
    </row>
    <row r="158" spans="1:16384" s="158" customFormat="1" thickBot="1" x14ac:dyDescent="0.35">
      <c r="A158" s="198"/>
      <c r="B158" s="98" t="s">
        <v>14</v>
      </c>
      <c r="C158" s="141" t="s">
        <v>15</v>
      </c>
      <c r="D158" s="79">
        <v>3.0000000000000001E-3</v>
      </c>
      <c r="E158" s="56"/>
      <c r="F158" s="297"/>
      <c r="G158" s="56"/>
      <c r="H158" s="56"/>
      <c r="I158" s="56"/>
      <c r="J158" s="56"/>
      <c r="K158" s="56"/>
      <c r="L158" s="57"/>
    </row>
    <row r="159" spans="1:16384" s="69" customFormat="1" ht="30.75" customHeight="1" x14ac:dyDescent="0.3">
      <c r="A159" s="136">
        <v>2</v>
      </c>
      <c r="B159" s="137" t="s">
        <v>341</v>
      </c>
      <c r="C159" s="134" t="s">
        <v>33</v>
      </c>
      <c r="D159" s="134"/>
      <c r="E159" s="138">
        <f>E153</f>
        <v>33.6</v>
      </c>
      <c r="F159" s="312"/>
      <c r="G159" s="138"/>
      <c r="H159" s="138"/>
      <c r="I159" s="138"/>
      <c r="J159" s="138"/>
      <c r="K159" s="138"/>
      <c r="L159" s="139"/>
    </row>
    <row r="160" spans="1:16384" s="69" customFormat="1" ht="13.95" customHeight="1" x14ac:dyDescent="0.3">
      <c r="A160" s="80"/>
      <c r="B160" s="24" t="s">
        <v>8</v>
      </c>
      <c r="C160" s="79" t="s">
        <v>33</v>
      </c>
      <c r="D160" s="79">
        <v>1</v>
      </c>
      <c r="E160" s="58"/>
      <c r="F160" s="271"/>
      <c r="G160" s="58"/>
      <c r="H160" s="58"/>
      <c r="I160" s="58"/>
      <c r="J160" s="58"/>
      <c r="K160" s="58"/>
      <c r="L160" s="57"/>
    </row>
    <row r="161" spans="1:13" s="69" customFormat="1" ht="13.95" customHeight="1" x14ac:dyDescent="0.3">
      <c r="A161" s="80"/>
      <c r="B161" s="24" t="s">
        <v>10</v>
      </c>
      <c r="C161" s="79" t="s">
        <v>15</v>
      </c>
      <c r="D161" s="79">
        <v>1.7000000000000001E-2</v>
      </c>
      <c r="E161" s="58"/>
      <c r="F161" s="271"/>
      <c r="G161" s="58"/>
      <c r="H161" s="58"/>
      <c r="I161" s="58"/>
      <c r="J161" s="58"/>
      <c r="K161" s="58"/>
      <c r="L161" s="57"/>
    </row>
    <row r="162" spans="1:13" s="69" customFormat="1" ht="13.95" customHeight="1" x14ac:dyDescent="0.3">
      <c r="A162" s="80"/>
      <c r="B162" s="24" t="s">
        <v>12</v>
      </c>
      <c r="C162" s="79"/>
      <c r="D162" s="79"/>
      <c r="E162" s="58"/>
      <c r="F162" s="271"/>
      <c r="G162" s="58"/>
      <c r="H162" s="58"/>
      <c r="I162" s="58"/>
      <c r="J162" s="58"/>
      <c r="K162" s="58"/>
      <c r="L162" s="57"/>
    </row>
    <row r="163" spans="1:13" s="69" customFormat="1" ht="13.8" x14ac:dyDescent="0.3">
      <c r="A163" s="80"/>
      <c r="B163" s="24" t="s">
        <v>340</v>
      </c>
      <c r="C163" s="79" t="s">
        <v>13</v>
      </c>
      <c r="D163" s="79">
        <v>3</v>
      </c>
      <c r="E163" s="58"/>
      <c r="F163" s="297"/>
      <c r="G163" s="56"/>
      <c r="H163" s="58"/>
      <c r="I163" s="58"/>
      <c r="J163" s="58"/>
      <c r="K163" s="58"/>
      <c r="L163" s="57"/>
      <c r="M163" s="126"/>
    </row>
    <row r="164" spans="1:13" s="69" customFormat="1" ht="13.95" customHeight="1" x14ac:dyDescent="0.3">
      <c r="A164" s="80"/>
      <c r="B164" s="24" t="s">
        <v>480</v>
      </c>
      <c r="C164" s="79" t="s">
        <v>342</v>
      </c>
      <c r="D164" s="79">
        <v>1.02</v>
      </c>
      <c r="E164" s="58"/>
      <c r="F164" s="271"/>
      <c r="G164" s="56"/>
      <c r="H164" s="58"/>
      <c r="I164" s="58"/>
      <c r="J164" s="58"/>
      <c r="K164" s="58"/>
      <c r="L164" s="57"/>
    </row>
    <row r="165" spans="1:13" s="69" customFormat="1" ht="13.95" customHeight="1" thickBot="1" x14ac:dyDescent="0.35">
      <c r="A165" s="298"/>
      <c r="B165" s="98" t="s">
        <v>14</v>
      </c>
      <c r="C165" s="141" t="s">
        <v>15</v>
      </c>
      <c r="D165" s="141">
        <v>0.22</v>
      </c>
      <c r="E165" s="142"/>
      <c r="F165" s="311"/>
      <c r="G165" s="143"/>
      <c r="H165" s="142"/>
      <c r="I165" s="142"/>
      <c r="J165" s="142"/>
      <c r="K165" s="142"/>
      <c r="L165" s="144"/>
    </row>
    <row r="166" spans="1:13" s="69" customFormat="1" ht="21.9" customHeight="1" x14ac:dyDescent="0.3">
      <c r="A166" s="136">
        <v>3</v>
      </c>
      <c r="B166" s="137" t="s">
        <v>259</v>
      </c>
      <c r="C166" s="134" t="s">
        <v>33</v>
      </c>
      <c r="D166" s="134"/>
      <c r="E166" s="138">
        <f>E153</f>
        <v>33.6</v>
      </c>
      <c r="F166" s="312"/>
      <c r="G166" s="138"/>
      <c r="H166" s="138"/>
      <c r="I166" s="138"/>
      <c r="J166" s="138"/>
      <c r="K166" s="138"/>
      <c r="L166" s="139"/>
    </row>
    <row r="167" spans="1:13" s="69" customFormat="1" ht="13.8" x14ac:dyDescent="0.3">
      <c r="A167" s="78"/>
      <c r="B167" s="24" t="s">
        <v>8</v>
      </c>
      <c r="C167" s="79" t="s">
        <v>33</v>
      </c>
      <c r="D167" s="79">
        <v>1</v>
      </c>
      <c r="E167" s="58"/>
      <c r="F167" s="271"/>
      <c r="G167" s="56"/>
      <c r="H167" s="58"/>
      <c r="I167" s="58"/>
      <c r="J167" s="58"/>
      <c r="K167" s="58"/>
      <c r="L167" s="57"/>
    </row>
    <row r="168" spans="1:13" s="69" customFormat="1" ht="13.8" x14ac:dyDescent="0.3">
      <c r="A168" s="78"/>
      <c r="B168" s="24" t="s">
        <v>10</v>
      </c>
      <c r="C168" s="79" t="s">
        <v>15</v>
      </c>
      <c r="D168" s="79">
        <f>0.08</f>
        <v>0.08</v>
      </c>
      <c r="E168" s="58"/>
      <c r="F168" s="271"/>
      <c r="G168" s="56"/>
      <c r="H168" s="58"/>
      <c r="I168" s="58"/>
      <c r="J168" s="58"/>
      <c r="K168" s="58"/>
      <c r="L168" s="57"/>
    </row>
    <row r="169" spans="1:13" s="69" customFormat="1" ht="13.8" x14ac:dyDescent="0.3">
      <c r="A169" s="78"/>
      <c r="B169" s="24" t="s">
        <v>12</v>
      </c>
      <c r="C169" s="79"/>
      <c r="D169" s="79"/>
      <c r="E169" s="58"/>
      <c r="F169" s="271"/>
      <c r="G169" s="56"/>
      <c r="H169" s="58"/>
      <c r="I169" s="58"/>
      <c r="J169" s="58"/>
      <c r="K169" s="58"/>
      <c r="L169" s="57"/>
    </row>
    <row r="170" spans="1:13" s="69" customFormat="1" ht="13.8" x14ac:dyDescent="0.3">
      <c r="A170" s="78"/>
      <c r="B170" s="24" t="s">
        <v>242</v>
      </c>
      <c r="C170" s="79" t="s">
        <v>33</v>
      </c>
      <c r="D170" s="79">
        <f>1.05</f>
        <v>1.05</v>
      </c>
      <c r="E170" s="58"/>
      <c r="F170" s="271"/>
      <c r="G170" s="56"/>
      <c r="H170" s="58"/>
      <c r="I170" s="58"/>
      <c r="J170" s="58"/>
      <c r="K170" s="58"/>
      <c r="L170" s="57"/>
    </row>
    <row r="171" spans="1:13" s="69" customFormat="1" ht="13.8" x14ac:dyDescent="0.3">
      <c r="A171" s="78"/>
      <c r="B171" s="24" t="s">
        <v>307</v>
      </c>
      <c r="C171" s="79" t="s">
        <v>13</v>
      </c>
      <c r="D171" s="79">
        <v>7</v>
      </c>
      <c r="E171" s="58"/>
      <c r="F171" s="271"/>
      <c r="G171" s="56"/>
      <c r="H171" s="58"/>
      <c r="I171" s="58"/>
      <c r="J171" s="58"/>
      <c r="K171" s="58"/>
      <c r="L171" s="57"/>
    </row>
    <row r="172" spans="1:13" s="69" customFormat="1" ht="13.95" customHeight="1" x14ac:dyDescent="0.3">
      <c r="A172" s="78"/>
      <c r="B172" s="24" t="s">
        <v>470</v>
      </c>
      <c r="C172" s="79" t="s">
        <v>33</v>
      </c>
      <c r="D172" s="58">
        <f>6/100</f>
        <v>0.06</v>
      </c>
      <c r="E172" s="91"/>
      <c r="F172" s="271"/>
      <c r="G172" s="56"/>
      <c r="H172" s="58"/>
      <c r="I172" s="58"/>
      <c r="J172" s="58"/>
      <c r="K172" s="56"/>
      <c r="L172" s="57"/>
    </row>
    <row r="173" spans="1:13" s="69" customFormat="1" thickBot="1" x14ac:dyDescent="0.35">
      <c r="A173" s="140"/>
      <c r="B173" s="98" t="s">
        <v>14</v>
      </c>
      <c r="C173" s="141" t="s">
        <v>15</v>
      </c>
      <c r="D173" s="141">
        <f>0.19</f>
        <v>0.19</v>
      </c>
      <c r="E173" s="142"/>
      <c r="F173" s="311"/>
      <c r="G173" s="143"/>
      <c r="H173" s="142"/>
      <c r="I173" s="142"/>
      <c r="J173" s="142"/>
      <c r="K173" s="142"/>
      <c r="L173" s="144"/>
    </row>
    <row r="174" spans="1:13" s="69" customFormat="1" ht="35.25" customHeight="1" thickBot="1" x14ac:dyDescent="0.35">
      <c r="A174" s="554"/>
      <c r="B174" s="197" t="s">
        <v>276</v>
      </c>
      <c r="C174" s="209"/>
      <c r="D174" s="209"/>
      <c r="E174" s="210"/>
      <c r="F174" s="210"/>
      <c r="G174" s="211"/>
      <c r="H174" s="210"/>
      <c r="I174" s="210"/>
      <c r="J174" s="210"/>
      <c r="K174" s="210"/>
      <c r="L174" s="212"/>
    </row>
    <row r="175" spans="1:13" s="158" customFormat="1" ht="27.75" customHeight="1" x14ac:dyDescent="0.3">
      <c r="A175" s="570">
        <v>1</v>
      </c>
      <c r="B175" s="137" t="s">
        <v>220</v>
      </c>
      <c r="C175" s="134" t="s">
        <v>33</v>
      </c>
      <c r="D175" s="161"/>
      <c r="E175" s="162">
        <f>E188</f>
        <v>18.399999999999999</v>
      </c>
      <c r="F175" s="163"/>
      <c r="G175" s="163"/>
      <c r="H175" s="163"/>
      <c r="I175" s="163"/>
      <c r="J175" s="163"/>
      <c r="K175" s="163"/>
      <c r="L175" s="164"/>
    </row>
    <row r="176" spans="1:13" s="158" customFormat="1" ht="13.8" x14ac:dyDescent="0.3">
      <c r="A176" s="571"/>
      <c r="B176" s="248" t="s">
        <v>8</v>
      </c>
      <c r="C176" s="249" t="s">
        <v>33</v>
      </c>
      <c r="D176" s="159">
        <v>1</v>
      </c>
      <c r="E176" s="159"/>
      <c r="F176" s="165"/>
      <c r="G176" s="165"/>
      <c r="H176" s="271"/>
      <c r="I176" s="165"/>
      <c r="J176" s="165"/>
      <c r="K176" s="165"/>
      <c r="L176" s="160"/>
    </row>
    <row r="177" spans="1:17" s="158" customFormat="1" ht="13.8" x14ac:dyDescent="0.3">
      <c r="A177" s="571"/>
      <c r="B177" s="24" t="s">
        <v>10</v>
      </c>
      <c r="C177" s="79" t="s">
        <v>15</v>
      </c>
      <c r="D177" s="159">
        <v>1.7000000000000001E-2</v>
      </c>
      <c r="E177" s="159"/>
      <c r="F177" s="165"/>
      <c r="G177" s="165"/>
      <c r="H177" s="165"/>
      <c r="I177" s="165"/>
      <c r="J177" s="58"/>
      <c r="K177" s="165"/>
      <c r="L177" s="160"/>
    </row>
    <row r="178" spans="1:17" s="158" customFormat="1" ht="13.8" x14ac:dyDescent="0.3">
      <c r="A178" s="571"/>
      <c r="B178" s="24" t="s">
        <v>12</v>
      </c>
      <c r="C178" s="79"/>
      <c r="D178" s="159"/>
      <c r="E178" s="159"/>
      <c r="F178" s="165"/>
      <c r="G178" s="165"/>
      <c r="H178" s="165"/>
      <c r="I178" s="165"/>
      <c r="J178" s="165"/>
      <c r="K178" s="165"/>
      <c r="L178" s="160"/>
    </row>
    <row r="179" spans="1:17" s="158" customFormat="1" ht="13.8" x14ac:dyDescent="0.3">
      <c r="A179" s="571"/>
      <c r="B179" s="24" t="s">
        <v>215</v>
      </c>
      <c r="C179" s="79" t="s">
        <v>33</v>
      </c>
      <c r="D179" s="159">
        <v>1.05</v>
      </c>
      <c r="E179" s="159"/>
      <c r="F179" s="166"/>
      <c r="G179" s="166"/>
      <c r="H179" s="165"/>
      <c r="I179" s="165"/>
      <c r="J179" s="165"/>
      <c r="K179" s="165"/>
      <c r="L179" s="160"/>
    </row>
    <row r="180" spans="1:17" s="158" customFormat="1" ht="17.399999999999999" x14ac:dyDescent="0.3">
      <c r="A180" s="571"/>
      <c r="B180" s="248" t="s">
        <v>231</v>
      </c>
      <c r="C180" s="249" t="s">
        <v>236</v>
      </c>
      <c r="D180" s="79">
        <v>1.05</v>
      </c>
      <c r="E180" s="58"/>
      <c r="F180" s="58"/>
      <c r="G180" s="58"/>
      <c r="H180" s="58"/>
      <c r="I180" s="58"/>
      <c r="J180" s="58"/>
      <c r="K180" s="58"/>
      <c r="L180" s="57"/>
    </row>
    <row r="181" spans="1:17" s="158" customFormat="1" thickBot="1" x14ac:dyDescent="0.35">
      <c r="A181" s="615"/>
      <c r="B181" s="150" t="s">
        <v>14</v>
      </c>
      <c r="C181" s="151" t="s">
        <v>15</v>
      </c>
      <c r="D181" s="199">
        <v>0.06</v>
      </c>
      <c r="E181" s="199"/>
      <c r="F181" s="142"/>
      <c r="G181" s="200"/>
      <c r="H181" s="201"/>
      <c r="I181" s="201"/>
      <c r="J181" s="201"/>
      <c r="K181" s="201"/>
      <c r="L181" s="202"/>
    </row>
    <row r="182" spans="1:17" s="69" customFormat="1" ht="27.6" x14ac:dyDescent="0.3">
      <c r="A182" s="634">
        <v>2</v>
      </c>
      <c r="B182" s="137" t="s">
        <v>219</v>
      </c>
      <c r="C182" s="134" t="s">
        <v>33</v>
      </c>
      <c r="D182" s="134"/>
      <c r="E182" s="138">
        <f>E175</f>
        <v>18.399999999999999</v>
      </c>
      <c r="F182" s="138"/>
      <c r="G182" s="138"/>
      <c r="H182" s="138"/>
      <c r="I182" s="138"/>
      <c r="J182" s="138"/>
      <c r="K182" s="138"/>
      <c r="L182" s="139"/>
    </row>
    <row r="183" spans="1:17" s="69" customFormat="1" ht="13.95" customHeight="1" x14ac:dyDescent="0.3">
      <c r="A183" s="571"/>
      <c r="B183" s="24" t="s">
        <v>8</v>
      </c>
      <c r="C183" s="79" t="s">
        <v>33</v>
      </c>
      <c r="D183" s="79">
        <v>1</v>
      </c>
      <c r="E183" s="58"/>
      <c r="F183" s="58"/>
      <c r="G183" s="58"/>
      <c r="H183" s="58"/>
      <c r="I183" s="58"/>
      <c r="J183" s="58"/>
      <c r="K183" s="58"/>
      <c r="L183" s="57"/>
    </row>
    <row r="184" spans="1:17" s="69" customFormat="1" ht="13.95" customHeight="1" x14ac:dyDescent="0.3">
      <c r="A184" s="571"/>
      <c r="B184" s="24" t="s">
        <v>10</v>
      </c>
      <c r="C184" s="79" t="s">
        <v>15</v>
      </c>
      <c r="D184" s="79">
        <v>1.7000000000000001E-2</v>
      </c>
      <c r="E184" s="58"/>
      <c r="F184" s="58"/>
      <c r="G184" s="58"/>
      <c r="H184" s="58"/>
      <c r="I184" s="58"/>
      <c r="J184" s="58"/>
      <c r="K184" s="58"/>
      <c r="L184" s="57"/>
    </row>
    <row r="185" spans="1:17" s="69" customFormat="1" ht="13.95" customHeight="1" x14ac:dyDescent="0.3">
      <c r="A185" s="571"/>
      <c r="B185" s="24" t="s">
        <v>12</v>
      </c>
      <c r="C185" s="79"/>
      <c r="D185" s="79"/>
      <c r="E185" s="58"/>
      <c r="F185" s="58"/>
      <c r="G185" s="58"/>
      <c r="H185" s="58"/>
      <c r="I185" s="58"/>
      <c r="J185" s="58"/>
      <c r="K185" s="58"/>
      <c r="L185" s="57"/>
    </row>
    <row r="186" spans="1:17" s="69" customFormat="1" ht="42.75" customHeight="1" x14ac:dyDescent="0.3">
      <c r="A186" s="571"/>
      <c r="B186" s="24" t="s">
        <v>214</v>
      </c>
      <c r="C186" s="79" t="s">
        <v>13</v>
      </c>
      <c r="D186" s="79">
        <v>3.3</v>
      </c>
      <c r="E186" s="58"/>
      <c r="F186" s="297"/>
      <c r="G186" s="56"/>
      <c r="H186" s="58"/>
      <c r="I186" s="58"/>
      <c r="J186" s="58"/>
      <c r="K186" s="58"/>
      <c r="L186" s="57"/>
      <c r="M186" s="126"/>
    </row>
    <row r="187" spans="1:17" s="69" customFormat="1" ht="13.95" customHeight="1" thickBot="1" x14ac:dyDescent="0.35">
      <c r="A187" s="614"/>
      <c r="B187" s="98" t="s">
        <v>14</v>
      </c>
      <c r="C187" s="141" t="s">
        <v>15</v>
      </c>
      <c r="D187" s="141">
        <v>0.22</v>
      </c>
      <c r="E187" s="142"/>
      <c r="F187" s="142"/>
      <c r="G187" s="143"/>
      <c r="H187" s="142"/>
      <c r="I187" s="142"/>
      <c r="J187" s="142"/>
      <c r="K187" s="142"/>
      <c r="L187" s="144"/>
    </row>
    <row r="188" spans="1:17" s="158" customFormat="1" ht="27.6" x14ac:dyDescent="0.3">
      <c r="A188" s="635">
        <v>3</v>
      </c>
      <c r="B188" s="137" t="s">
        <v>272</v>
      </c>
      <c r="C188" s="206" t="s">
        <v>33</v>
      </c>
      <c r="D188" s="206"/>
      <c r="E188" s="138">
        <f>18.4</f>
        <v>18.399999999999999</v>
      </c>
      <c r="F188" s="138"/>
      <c r="G188" s="138"/>
      <c r="H188" s="138"/>
      <c r="I188" s="138"/>
      <c r="J188" s="138"/>
      <c r="K188" s="138"/>
      <c r="L188" s="139"/>
    </row>
    <row r="189" spans="1:17" s="158" customFormat="1" ht="13.8" x14ac:dyDescent="0.3">
      <c r="A189" s="636"/>
      <c r="B189" s="55" t="s">
        <v>8</v>
      </c>
      <c r="C189" s="179" t="s">
        <v>33</v>
      </c>
      <c r="D189" s="79">
        <v>1</v>
      </c>
      <c r="E189" s="56"/>
      <c r="F189" s="56"/>
      <c r="G189" s="56"/>
      <c r="H189" s="56"/>
      <c r="I189" s="56"/>
      <c r="J189" s="56"/>
      <c r="K189" s="56"/>
      <c r="L189" s="57"/>
    </row>
    <row r="190" spans="1:17" s="158" customFormat="1" ht="13.8" x14ac:dyDescent="0.3">
      <c r="A190" s="636"/>
      <c r="B190" s="55" t="s">
        <v>10</v>
      </c>
      <c r="C190" s="179" t="s">
        <v>15</v>
      </c>
      <c r="D190" s="79">
        <v>1</v>
      </c>
      <c r="E190" s="56"/>
      <c r="F190" s="56"/>
      <c r="G190" s="56"/>
      <c r="H190" s="56"/>
      <c r="I190" s="56"/>
      <c r="J190" s="58"/>
      <c r="K190" s="56"/>
      <c r="L190" s="57"/>
    </row>
    <row r="191" spans="1:17" s="158" customFormat="1" ht="13.8" x14ac:dyDescent="0.3">
      <c r="A191" s="636"/>
      <c r="B191" s="55" t="s">
        <v>12</v>
      </c>
      <c r="C191" s="179"/>
      <c r="D191" s="79"/>
      <c r="E191" s="56"/>
      <c r="F191" s="56"/>
      <c r="G191" s="56"/>
      <c r="H191" s="56"/>
      <c r="I191" s="56"/>
      <c r="J191" s="56"/>
      <c r="K191" s="56"/>
      <c r="L191" s="57"/>
    </row>
    <row r="192" spans="1:17" s="184" customFormat="1" x14ac:dyDescent="0.3">
      <c r="A192" s="637"/>
      <c r="B192" s="24" t="s">
        <v>269</v>
      </c>
      <c r="C192" s="121" t="s">
        <v>27</v>
      </c>
      <c r="D192" s="79">
        <f>(2.04+0.51*8)/100</f>
        <v>6.1200000000000004E-2</v>
      </c>
      <c r="E192" s="122"/>
      <c r="F192" s="275"/>
      <c r="G192" s="166"/>
      <c r="H192" s="165"/>
      <c r="I192" s="165"/>
      <c r="J192" s="165"/>
      <c r="K192" s="165"/>
      <c r="L192" s="160"/>
      <c r="M192"/>
      <c r="N192"/>
      <c r="O192"/>
      <c r="P192"/>
      <c r="Q192"/>
    </row>
    <row r="193" spans="1:17" s="184" customFormat="1" x14ac:dyDescent="0.3">
      <c r="A193" s="638"/>
      <c r="B193" s="24" t="s">
        <v>122</v>
      </c>
      <c r="C193" s="273" t="s">
        <v>27</v>
      </c>
      <c r="D193" s="218">
        <f>0.061*1.23</f>
        <v>7.5029999999999999E-2</v>
      </c>
      <c r="E193" s="274"/>
      <c r="F193" s="275"/>
      <c r="G193" s="166"/>
      <c r="H193" s="201"/>
      <c r="I193" s="201"/>
      <c r="J193" s="201"/>
      <c r="K193" s="201"/>
      <c r="L193" s="160"/>
      <c r="M193"/>
      <c r="N193"/>
      <c r="O193"/>
      <c r="P193"/>
      <c r="Q193"/>
    </row>
    <row r="194" spans="1:17" s="184" customFormat="1" x14ac:dyDescent="0.3">
      <c r="A194" s="638"/>
      <c r="B194" s="24" t="s">
        <v>138</v>
      </c>
      <c r="C194" s="273" t="s">
        <v>228</v>
      </c>
      <c r="D194" s="218">
        <f>0.061*0.306</f>
        <v>1.8665999999999999E-2</v>
      </c>
      <c r="E194" s="274"/>
      <c r="F194" s="275"/>
      <c r="G194" s="166"/>
      <c r="H194" s="201"/>
      <c r="I194" s="201"/>
      <c r="J194" s="201"/>
      <c r="K194" s="201"/>
      <c r="L194" s="160"/>
      <c r="M194"/>
      <c r="N194"/>
      <c r="O194"/>
      <c r="P194"/>
      <c r="Q194"/>
    </row>
    <row r="195" spans="1:17" s="69" customFormat="1" ht="13.8" x14ac:dyDescent="0.3">
      <c r="A195" s="571"/>
      <c r="B195" s="24" t="s">
        <v>470</v>
      </c>
      <c r="C195" s="79" t="s">
        <v>33</v>
      </c>
      <c r="D195" s="79">
        <v>1.03</v>
      </c>
      <c r="E195" s="58"/>
      <c r="F195" s="271"/>
      <c r="G195" s="56"/>
      <c r="H195" s="58"/>
      <c r="I195" s="58"/>
      <c r="J195" s="58"/>
      <c r="K195" s="58"/>
      <c r="L195" s="57"/>
    </row>
    <row r="196" spans="1:17" s="208" customFormat="1" thickBot="1" x14ac:dyDescent="0.35">
      <c r="A196" s="563"/>
      <c r="B196" s="193" t="s">
        <v>14</v>
      </c>
      <c r="C196" s="207" t="s">
        <v>15</v>
      </c>
      <c r="D196" s="207">
        <v>1</v>
      </c>
      <c r="E196" s="143"/>
      <c r="F196" s="142"/>
      <c r="G196" s="143"/>
      <c r="H196" s="143"/>
      <c r="I196" s="143"/>
      <c r="J196" s="143"/>
      <c r="K196" s="143"/>
      <c r="L196" s="144"/>
    </row>
    <row r="197" spans="1:17" s="69" customFormat="1" ht="27.6" customHeight="1" x14ac:dyDescent="0.3">
      <c r="A197" s="570">
        <v>4</v>
      </c>
      <c r="B197" s="137" t="s">
        <v>277</v>
      </c>
      <c r="C197" s="134" t="s">
        <v>33</v>
      </c>
      <c r="D197" s="134"/>
      <c r="E197" s="138">
        <f>E175</f>
        <v>18.399999999999999</v>
      </c>
      <c r="F197" s="138"/>
      <c r="G197" s="138"/>
      <c r="H197" s="138"/>
      <c r="I197" s="138"/>
      <c r="J197" s="138"/>
      <c r="K197" s="138"/>
      <c r="L197" s="139"/>
    </row>
    <row r="198" spans="1:17" s="69" customFormat="1" ht="13.95" customHeight="1" x14ac:dyDescent="0.3">
      <c r="A198" s="571"/>
      <c r="B198" s="24" t="s">
        <v>8</v>
      </c>
      <c r="C198" s="79" t="s">
        <v>33</v>
      </c>
      <c r="D198" s="79">
        <v>1</v>
      </c>
      <c r="E198" s="58"/>
      <c r="F198" s="58"/>
      <c r="G198" s="56"/>
      <c r="H198" s="58"/>
      <c r="I198" s="58"/>
      <c r="J198" s="58"/>
      <c r="K198" s="58"/>
      <c r="L198" s="57"/>
    </row>
    <row r="199" spans="1:17" s="69" customFormat="1" ht="13.95" customHeight="1" x14ac:dyDescent="0.3">
      <c r="A199" s="571"/>
      <c r="B199" s="24" t="s">
        <v>10</v>
      </c>
      <c r="C199" s="79" t="s">
        <v>15</v>
      </c>
      <c r="D199" s="79">
        <f>0.08</f>
        <v>0.08</v>
      </c>
      <c r="E199" s="58"/>
      <c r="F199" s="58"/>
      <c r="G199" s="56"/>
      <c r="H199" s="58"/>
      <c r="I199" s="58"/>
      <c r="J199" s="58"/>
      <c r="K199" s="58"/>
      <c r="L199" s="57"/>
    </row>
    <row r="200" spans="1:17" s="69" customFormat="1" ht="13.95" customHeight="1" x14ac:dyDescent="0.3">
      <c r="A200" s="571"/>
      <c r="B200" s="24" t="s">
        <v>12</v>
      </c>
      <c r="C200" s="79"/>
      <c r="D200" s="79"/>
      <c r="E200" s="58"/>
      <c r="F200" s="58"/>
      <c r="G200" s="56"/>
      <c r="H200" s="58"/>
      <c r="I200" s="58"/>
      <c r="J200" s="58"/>
      <c r="K200" s="58"/>
      <c r="L200" s="57"/>
    </row>
    <row r="201" spans="1:17" s="69" customFormat="1" ht="13.95" customHeight="1" x14ac:dyDescent="0.3">
      <c r="A201" s="571"/>
      <c r="B201" s="24" t="s">
        <v>216</v>
      </c>
      <c r="C201" s="79" t="s">
        <v>33</v>
      </c>
      <c r="D201" s="79">
        <f>1.05</f>
        <v>1.05</v>
      </c>
      <c r="E201" s="58"/>
      <c r="F201" s="271"/>
      <c r="G201" s="56"/>
      <c r="H201" s="58"/>
      <c r="I201" s="58"/>
      <c r="J201" s="58"/>
      <c r="K201" s="58"/>
      <c r="L201" s="57"/>
    </row>
    <row r="202" spans="1:17" s="69" customFormat="1" ht="13.95" customHeight="1" x14ac:dyDescent="0.3">
      <c r="A202" s="571"/>
      <c r="B202" s="24" t="s">
        <v>328</v>
      </c>
      <c r="C202" s="79" t="s">
        <v>13</v>
      </c>
      <c r="D202" s="79">
        <v>5</v>
      </c>
      <c r="E202" s="58"/>
      <c r="F202" s="297"/>
      <c r="G202" s="56"/>
      <c r="H202" s="58"/>
      <c r="I202" s="58"/>
      <c r="J202" s="58"/>
      <c r="K202" s="58"/>
      <c r="L202" s="57"/>
    </row>
    <row r="203" spans="1:17" s="69" customFormat="1" ht="13.95" customHeight="1" x14ac:dyDescent="0.3">
      <c r="A203" s="571"/>
      <c r="B203" s="24" t="s">
        <v>39</v>
      </c>
      <c r="C203" s="79" t="s">
        <v>13</v>
      </c>
      <c r="D203" s="79">
        <v>0.15</v>
      </c>
      <c r="E203" s="58"/>
      <c r="F203" s="58"/>
      <c r="G203" s="56"/>
      <c r="H203" s="58"/>
      <c r="I203" s="58"/>
      <c r="J203" s="58"/>
      <c r="K203" s="58"/>
      <c r="L203" s="57"/>
    </row>
    <row r="204" spans="1:17" s="69" customFormat="1" ht="13.95" customHeight="1" thickBot="1" x14ac:dyDescent="0.35">
      <c r="A204" s="614"/>
      <c r="B204" s="98" t="s">
        <v>14</v>
      </c>
      <c r="C204" s="141" t="s">
        <v>15</v>
      </c>
      <c r="D204" s="141">
        <f>0.19</f>
        <v>0.19</v>
      </c>
      <c r="E204" s="142"/>
      <c r="F204" s="142"/>
      <c r="G204" s="143"/>
      <c r="H204" s="142"/>
      <c r="I204" s="142"/>
      <c r="J204" s="142"/>
      <c r="K204" s="142"/>
      <c r="L204" s="144"/>
    </row>
    <row r="205" spans="1:17" s="69" customFormat="1" ht="27.6" customHeight="1" x14ac:dyDescent="0.3">
      <c r="A205" s="570">
        <v>4</v>
      </c>
      <c r="B205" s="137" t="s">
        <v>484</v>
      </c>
      <c r="C205" s="134" t="s">
        <v>33</v>
      </c>
      <c r="D205" s="134"/>
      <c r="E205" s="312">
        <f>E197</f>
        <v>18.399999999999999</v>
      </c>
      <c r="F205" s="138"/>
      <c r="G205" s="138"/>
      <c r="H205" s="138"/>
      <c r="I205" s="138"/>
      <c r="J205" s="138"/>
      <c r="K205" s="138"/>
      <c r="L205" s="139"/>
    </row>
    <row r="206" spans="1:17" s="69" customFormat="1" ht="13.95" customHeight="1" x14ac:dyDescent="0.3">
      <c r="A206" s="571"/>
      <c r="B206" s="24" t="s">
        <v>8</v>
      </c>
      <c r="C206" s="79" t="s">
        <v>9</v>
      </c>
      <c r="D206" s="79">
        <v>1</v>
      </c>
      <c r="E206" s="58"/>
      <c r="F206" s="58"/>
      <c r="G206" s="56"/>
      <c r="H206" s="58"/>
      <c r="I206" s="58"/>
      <c r="J206" s="58"/>
      <c r="K206" s="58"/>
      <c r="L206" s="57"/>
    </row>
    <row r="207" spans="1:17" s="69" customFormat="1" ht="13.95" customHeight="1" x14ac:dyDescent="0.3">
      <c r="A207" s="571"/>
      <c r="B207" s="24" t="s">
        <v>10</v>
      </c>
      <c r="C207" s="79" t="s">
        <v>15</v>
      </c>
      <c r="D207" s="79">
        <f>0.08</f>
        <v>0.08</v>
      </c>
      <c r="E207" s="58"/>
      <c r="F207" s="58"/>
      <c r="G207" s="56"/>
      <c r="H207" s="58"/>
      <c r="I207" s="58"/>
      <c r="J207" s="58"/>
      <c r="K207" s="58"/>
      <c r="L207" s="57"/>
    </row>
    <row r="208" spans="1:17" s="69" customFormat="1" ht="13.95" customHeight="1" x14ac:dyDescent="0.3">
      <c r="A208" s="571"/>
      <c r="B208" s="24" t="s">
        <v>12</v>
      </c>
      <c r="C208" s="79"/>
      <c r="D208" s="79"/>
      <c r="E208" s="58"/>
      <c r="F208" s="58"/>
      <c r="G208" s="56"/>
      <c r="H208" s="58"/>
      <c r="I208" s="58"/>
      <c r="J208" s="58"/>
      <c r="K208" s="58"/>
      <c r="L208" s="57"/>
    </row>
    <row r="209" spans="1:12" s="69" customFormat="1" ht="39" customHeight="1" x14ac:dyDescent="0.3">
      <c r="A209" s="571"/>
      <c r="B209" s="24" t="s">
        <v>472</v>
      </c>
      <c r="C209" s="79" t="s">
        <v>342</v>
      </c>
      <c r="D209" s="79">
        <v>1.05</v>
      </c>
      <c r="E209" s="58"/>
      <c r="F209" s="271"/>
      <c r="G209" s="56"/>
      <c r="H209" s="58"/>
      <c r="I209" s="58"/>
      <c r="J209" s="58"/>
      <c r="K209" s="58"/>
      <c r="L209" s="57"/>
    </row>
    <row r="210" spans="1:12" s="69" customFormat="1" ht="39" customHeight="1" x14ac:dyDescent="0.3">
      <c r="A210" s="571"/>
      <c r="B210" s="24" t="s">
        <v>473</v>
      </c>
      <c r="C210" s="79" t="s">
        <v>342</v>
      </c>
      <c r="D210" s="79">
        <f>1.05</f>
        <v>1.05</v>
      </c>
      <c r="E210" s="58"/>
      <c r="F210" s="271"/>
      <c r="G210" s="56"/>
      <c r="H210" s="58"/>
      <c r="I210" s="58"/>
      <c r="J210" s="58"/>
      <c r="K210" s="58"/>
      <c r="L210" s="57"/>
    </row>
    <row r="211" spans="1:12" s="69" customFormat="1" ht="13.95" customHeight="1" x14ac:dyDescent="0.3">
      <c r="A211" s="632"/>
      <c r="B211" s="24" t="s">
        <v>328</v>
      </c>
      <c r="C211" s="79" t="s">
        <v>13</v>
      </c>
      <c r="D211" s="79">
        <v>5</v>
      </c>
      <c r="E211" s="58"/>
      <c r="F211" s="297"/>
      <c r="G211" s="56"/>
      <c r="H211" s="58"/>
      <c r="I211" s="58"/>
      <c r="J211" s="58"/>
      <c r="K211" s="58"/>
      <c r="L211" s="57"/>
    </row>
    <row r="212" spans="1:12" s="69" customFormat="1" ht="13.95" customHeight="1" x14ac:dyDescent="0.3">
      <c r="A212" s="632"/>
      <c r="B212" s="24" t="s">
        <v>39</v>
      </c>
      <c r="C212" s="79" t="s">
        <v>13</v>
      </c>
      <c r="D212" s="79">
        <v>0.15</v>
      </c>
      <c r="E212" s="58"/>
      <c r="F212" s="58"/>
      <c r="G212" s="56"/>
      <c r="H212" s="58"/>
      <c r="I212" s="58"/>
      <c r="J212" s="58"/>
      <c r="K212" s="58"/>
      <c r="L212" s="57"/>
    </row>
    <row r="213" spans="1:12" s="69" customFormat="1" ht="13.95" customHeight="1" thickBot="1" x14ac:dyDescent="0.35">
      <c r="A213" s="633"/>
      <c r="B213" s="98" t="s">
        <v>14</v>
      </c>
      <c r="C213" s="141" t="s">
        <v>15</v>
      </c>
      <c r="D213" s="141">
        <f>0.19</f>
        <v>0.19</v>
      </c>
      <c r="E213" s="142"/>
      <c r="F213" s="142"/>
      <c r="G213" s="143"/>
      <c r="H213" s="142"/>
      <c r="I213" s="142"/>
      <c r="J213" s="142"/>
      <c r="K213" s="142"/>
      <c r="L213" s="144"/>
    </row>
    <row r="214" spans="1:12" ht="13.95" customHeight="1" thickBot="1" x14ac:dyDescent="0.35">
      <c r="A214" s="263"/>
      <c r="B214" s="264" t="s">
        <v>6</v>
      </c>
      <c r="C214" s="264"/>
      <c r="D214" s="539"/>
      <c r="E214" s="539"/>
      <c r="F214" s="539"/>
      <c r="G214" s="540">
        <f>SUM(G13:G213)</f>
        <v>0</v>
      </c>
      <c r="H214" s="540"/>
      <c r="I214" s="540">
        <f>SUM(I13:I213)</f>
        <v>0</v>
      </c>
      <c r="J214" s="540"/>
      <c r="K214" s="540">
        <f>SUM(K13:K213)</f>
        <v>0</v>
      </c>
      <c r="L214" s="540">
        <f>SUM(L13:L213)</f>
        <v>0</v>
      </c>
    </row>
    <row r="215" spans="1:12" x14ac:dyDescent="0.3">
      <c r="A215" s="256"/>
      <c r="B215" s="257" t="s">
        <v>128</v>
      </c>
      <c r="C215" s="258"/>
      <c r="D215" s="541"/>
      <c r="E215" s="541"/>
      <c r="F215" s="541"/>
      <c r="G215" s="541"/>
      <c r="H215" s="541"/>
      <c r="I215" s="541"/>
      <c r="J215" s="541"/>
      <c r="K215" s="541"/>
      <c r="L215" s="542">
        <f>L214*C215</f>
        <v>0</v>
      </c>
    </row>
    <row r="216" spans="1:12" x14ac:dyDescent="0.3">
      <c r="A216" s="259"/>
      <c r="B216" s="219" t="s">
        <v>6</v>
      </c>
      <c r="C216" s="60"/>
      <c r="D216" s="543"/>
      <c r="E216" s="543"/>
      <c r="F216" s="543"/>
      <c r="G216" s="543"/>
      <c r="H216" s="543"/>
      <c r="I216" s="543"/>
      <c r="J216" s="543"/>
      <c r="K216" s="543"/>
      <c r="L216" s="544">
        <f>L215+L214</f>
        <v>0</v>
      </c>
    </row>
    <row r="217" spans="1:12" x14ac:dyDescent="0.3">
      <c r="A217" s="259"/>
      <c r="B217" s="219" t="s">
        <v>154</v>
      </c>
      <c r="C217" s="18"/>
      <c r="D217" s="543"/>
      <c r="E217" s="543"/>
      <c r="F217" s="543"/>
      <c r="G217" s="543"/>
      <c r="H217" s="543"/>
      <c r="I217" s="543"/>
      <c r="J217" s="543"/>
      <c r="K217" s="543"/>
      <c r="L217" s="544">
        <f>L216*C217</f>
        <v>0</v>
      </c>
    </row>
    <row r="218" spans="1:12" x14ac:dyDescent="0.3">
      <c r="A218" s="259"/>
      <c r="B218" s="219" t="s">
        <v>6</v>
      </c>
      <c r="C218" s="18"/>
      <c r="D218" s="543"/>
      <c r="E218" s="543"/>
      <c r="F218" s="543"/>
      <c r="G218" s="543"/>
      <c r="H218" s="543"/>
      <c r="I218" s="543"/>
      <c r="J218" s="543"/>
      <c r="K218" s="543"/>
      <c r="L218" s="544">
        <f>L217+L216</f>
        <v>0</v>
      </c>
    </row>
    <row r="219" spans="1:12" x14ac:dyDescent="0.3">
      <c r="A219" s="259"/>
      <c r="B219" s="219" t="s">
        <v>17</v>
      </c>
      <c r="C219" s="18"/>
      <c r="D219" s="543"/>
      <c r="E219" s="543"/>
      <c r="F219" s="543"/>
      <c r="G219" s="543"/>
      <c r="H219" s="543"/>
      <c r="I219" s="543"/>
      <c r="J219" s="543"/>
      <c r="K219" s="543"/>
      <c r="L219" s="544">
        <f>C219*L218</f>
        <v>0</v>
      </c>
    </row>
    <row r="220" spans="1:12" x14ac:dyDescent="0.3">
      <c r="A220" s="259"/>
      <c r="B220" s="219" t="s">
        <v>6</v>
      </c>
      <c r="C220" s="18"/>
      <c r="D220" s="543"/>
      <c r="E220" s="543"/>
      <c r="F220" s="543"/>
      <c r="G220" s="543"/>
      <c r="H220" s="543"/>
      <c r="I220" s="543"/>
      <c r="J220" s="543"/>
      <c r="K220" s="543"/>
      <c r="L220" s="544">
        <f>L219+L218</f>
        <v>0</v>
      </c>
    </row>
    <row r="221" spans="1:12" x14ac:dyDescent="0.3">
      <c r="A221" s="259"/>
      <c r="B221" s="219" t="s">
        <v>18</v>
      </c>
      <c r="C221" s="18"/>
      <c r="D221" s="543"/>
      <c r="E221" s="543"/>
      <c r="F221" s="543"/>
      <c r="G221" s="543"/>
      <c r="H221" s="543"/>
      <c r="I221" s="543"/>
      <c r="J221" s="543"/>
      <c r="K221" s="543"/>
      <c r="L221" s="544">
        <f>L220*C221</f>
        <v>0</v>
      </c>
    </row>
    <row r="222" spans="1:12" x14ac:dyDescent="0.3">
      <c r="A222" s="259"/>
      <c r="B222" s="219" t="s">
        <v>6</v>
      </c>
      <c r="C222" s="29"/>
      <c r="D222" s="543"/>
      <c r="E222" s="543"/>
      <c r="F222" s="543"/>
      <c r="G222" s="543"/>
      <c r="H222" s="543"/>
      <c r="I222" s="543"/>
      <c r="J222" s="543"/>
      <c r="K222" s="543"/>
      <c r="L222" s="544">
        <f>L221+L220</f>
        <v>0</v>
      </c>
    </row>
    <row r="223" spans="1:12" ht="15" thickBot="1" x14ac:dyDescent="0.35">
      <c r="A223" s="260"/>
      <c r="B223" s="261" t="s">
        <v>19</v>
      </c>
      <c r="C223" s="262">
        <v>0.18</v>
      </c>
      <c r="D223" s="545"/>
      <c r="E223" s="545"/>
      <c r="F223" s="545"/>
      <c r="G223" s="545"/>
      <c r="H223" s="545"/>
      <c r="I223" s="545"/>
      <c r="J223" s="545"/>
      <c r="K223" s="545"/>
      <c r="L223" s="546">
        <f>L222*C223</f>
        <v>0</v>
      </c>
    </row>
    <row r="224" spans="1:12" ht="15" thickBot="1" x14ac:dyDescent="0.35">
      <c r="A224" s="263"/>
      <c r="B224" s="264" t="s">
        <v>6</v>
      </c>
      <c r="C224" s="264"/>
      <c r="D224" s="539"/>
      <c r="E224" s="539"/>
      <c r="F224" s="539"/>
      <c r="G224" s="539"/>
      <c r="H224" s="539"/>
      <c r="I224" s="539"/>
      <c r="J224" s="539"/>
      <c r="K224" s="539"/>
      <c r="L224" s="547">
        <f>L223+L222</f>
        <v>0</v>
      </c>
    </row>
    <row r="225" customFormat="1" x14ac:dyDescent="0.3"/>
    <row r="226" customFormat="1" x14ac:dyDescent="0.3"/>
  </sheetData>
  <autoFilter ref="A12:L224" xr:uid="{87BF990D-3588-4EEC-9D8F-54ABD9C57ECA}"/>
  <mergeCells count="17">
    <mergeCell ref="A7:B7"/>
    <mergeCell ref="K7:L7"/>
    <mergeCell ref="A2:L2"/>
    <mergeCell ref="A3:L3"/>
    <mergeCell ref="A4:L4"/>
    <mergeCell ref="H6:J6"/>
    <mergeCell ref="K6:L6"/>
    <mergeCell ref="A8:B8"/>
    <mergeCell ref="K9:L9"/>
    <mergeCell ref="A10:A11"/>
    <mergeCell ref="B10:B11"/>
    <mergeCell ref="C10:C11"/>
    <mergeCell ref="D10:E10"/>
    <mergeCell ref="F10:G10"/>
    <mergeCell ref="H10:I10"/>
    <mergeCell ref="J10:K10"/>
    <mergeCell ref="L10:L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rgb="FFFFC000"/>
  </sheetPr>
  <dimension ref="A1:J88"/>
  <sheetViews>
    <sheetView topLeftCell="A55" workbookViewId="0">
      <selection activeCell="E4" sqref="E4:E5"/>
    </sheetView>
  </sheetViews>
  <sheetFormatPr defaultColWidth="9.109375" defaultRowHeight="14.4" x14ac:dyDescent="0.3"/>
  <cols>
    <col min="1" max="2" width="9.109375" style="107"/>
    <col min="3" max="3" width="28.33203125" style="107" customWidth="1"/>
    <col min="4" max="4" width="11.109375" style="107" customWidth="1"/>
    <col min="5" max="5" width="20.44140625" style="107" customWidth="1"/>
    <col min="6" max="6" width="12.88671875" style="107" customWidth="1"/>
    <col min="7" max="7" width="12.6640625" style="107" customWidth="1"/>
    <col min="8" max="8" width="17.33203125" style="107" customWidth="1"/>
    <col min="9" max="16384" width="9.109375" style="107"/>
  </cols>
  <sheetData>
    <row r="1" spans="2:8" ht="39.75" customHeight="1" x14ac:dyDescent="0.3">
      <c r="C1" s="695" t="s">
        <v>165</v>
      </c>
      <c r="D1" s="695"/>
      <c r="E1" s="695"/>
    </row>
    <row r="3" spans="2:8" ht="28.8" x14ac:dyDescent="0.3">
      <c r="B3" s="107" t="s">
        <v>2</v>
      </c>
      <c r="C3" s="107" t="s">
        <v>166</v>
      </c>
      <c r="D3" s="107" t="s">
        <v>167</v>
      </c>
      <c r="E3" s="107" t="s">
        <v>155</v>
      </c>
      <c r="F3" s="107" t="s">
        <v>168</v>
      </c>
      <c r="G3" s="109" t="s">
        <v>169</v>
      </c>
      <c r="H3" s="107" t="s">
        <v>170</v>
      </c>
    </row>
    <row r="4" spans="2:8" x14ac:dyDescent="0.3">
      <c r="B4" s="107">
        <v>1</v>
      </c>
      <c r="C4" s="107" t="s">
        <v>171</v>
      </c>
      <c r="D4" s="107">
        <v>30</v>
      </c>
      <c r="E4" s="107">
        <v>-6.6</v>
      </c>
      <c r="F4" s="107">
        <v>4.8</v>
      </c>
      <c r="G4" s="107">
        <v>136</v>
      </c>
      <c r="H4" s="107">
        <f t="shared" ref="H4:H14" si="0">F4*G4</f>
        <v>652.79999999999995</v>
      </c>
    </row>
    <row r="5" spans="2:8" x14ac:dyDescent="0.3">
      <c r="B5" s="110"/>
      <c r="C5" s="107" t="s">
        <v>171</v>
      </c>
      <c r="D5" s="107">
        <v>25</v>
      </c>
      <c r="E5" s="107">
        <v>-6.6</v>
      </c>
      <c r="F5" s="107">
        <v>4.8</v>
      </c>
      <c r="G5" s="107">
        <v>23.5</v>
      </c>
      <c r="H5" s="107">
        <f t="shared" si="0"/>
        <v>112.8</v>
      </c>
    </row>
    <row r="6" spans="2:8" x14ac:dyDescent="0.3">
      <c r="B6" s="110"/>
      <c r="C6" s="107" t="s">
        <v>171</v>
      </c>
      <c r="D6" s="107">
        <v>30</v>
      </c>
      <c r="E6" s="107">
        <v>-1.6</v>
      </c>
      <c r="F6" s="107">
        <v>6.8</v>
      </c>
      <c r="G6" s="107">
        <v>150</v>
      </c>
      <c r="H6" s="107">
        <f t="shared" si="0"/>
        <v>1020</v>
      </c>
    </row>
    <row r="7" spans="2:8" x14ac:dyDescent="0.3">
      <c r="B7" s="110"/>
      <c r="C7" s="107" t="s">
        <v>171</v>
      </c>
      <c r="D7" s="107">
        <v>25</v>
      </c>
      <c r="E7" s="107">
        <v>-1.6</v>
      </c>
      <c r="F7" s="107">
        <v>6.8</v>
      </c>
      <c r="G7" s="107">
        <v>10.4</v>
      </c>
      <c r="H7" s="107">
        <f t="shared" si="0"/>
        <v>70.72</v>
      </c>
    </row>
    <row r="8" spans="2:8" x14ac:dyDescent="0.3">
      <c r="C8" s="107" t="s">
        <v>171</v>
      </c>
      <c r="D8" s="107">
        <v>20</v>
      </c>
      <c r="E8" s="107">
        <v>-1.6</v>
      </c>
      <c r="F8" s="107">
        <v>6.8</v>
      </c>
      <c r="G8" s="107">
        <v>52</v>
      </c>
      <c r="H8" s="107">
        <f t="shared" si="0"/>
        <v>353.59999999999997</v>
      </c>
    </row>
    <row r="9" spans="2:8" x14ac:dyDescent="0.3">
      <c r="C9" s="107" t="s">
        <v>172</v>
      </c>
      <c r="D9" s="107">
        <v>10</v>
      </c>
      <c r="E9" s="107">
        <v>-1.6</v>
      </c>
      <c r="F9" s="107">
        <v>6.8</v>
      </c>
      <c r="G9" s="107">
        <v>7.9</v>
      </c>
      <c r="H9" s="107">
        <f t="shared" si="0"/>
        <v>53.72</v>
      </c>
    </row>
    <row r="10" spans="2:8" x14ac:dyDescent="0.3">
      <c r="C10" s="107" t="s">
        <v>171</v>
      </c>
      <c r="D10" s="107">
        <v>30</v>
      </c>
      <c r="E10" s="107">
        <v>5.4</v>
      </c>
      <c r="F10" s="107">
        <v>3.1</v>
      </c>
      <c r="G10" s="107">
        <v>42.3</v>
      </c>
      <c r="H10" s="107">
        <f t="shared" si="0"/>
        <v>131.13</v>
      </c>
    </row>
    <row r="11" spans="2:8" x14ac:dyDescent="0.3">
      <c r="C11" s="107" t="s">
        <v>171</v>
      </c>
      <c r="D11" s="107">
        <v>25</v>
      </c>
      <c r="E11" s="107">
        <v>5.4</v>
      </c>
      <c r="F11" s="107">
        <v>3.1</v>
      </c>
      <c r="G11" s="107">
        <v>10.4</v>
      </c>
      <c r="H11" s="107">
        <f t="shared" si="0"/>
        <v>32.24</v>
      </c>
    </row>
    <row r="12" spans="2:8" x14ac:dyDescent="0.3">
      <c r="C12" s="107" t="s">
        <v>171</v>
      </c>
      <c r="D12" s="107">
        <v>20</v>
      </c>
      <c r="E12" s="107">
        <v>5.4</v>
      </c>
      <c r="F12" s="107">
        <v>3.1</v>
      </c>
      <c r="G12" s="107">
        <v>13.1</v>
      </c>
      <c r="H12" s="107">
        <f t="shared" si="0"/>
        <v>40.61</v>
      </c>
    </row>
    <row r="13" spans="2:8" x14ac:dyDescent="0.3">
      <c r="C13" s="107" t="s">
        <v>172</v>
      </c>
      <c r="D13" s="107">
        <v>20</v>
      </c>
      <c r="E13" s="107">
        <v>5.4</v>
      </c>
      <c r="F13" s="107">
        <v>3.1</v>
      </c>
      <c r="G13" s="107">
        <v>125</v>
      </c>
      <c r="H13" s="107">
        <f t="shared" si="0"/>
        <v>387.5</v>
      </c>
    </row>
    <row r="14" spans="2:8" x14ac:dyDescent="0.3">
      <c r="C14" s="107" t="s">
        <v>172</v>
      </c>
      <c r="D14" s="107">
        <v>10</v>
      </c>
      <c r="E14" s="107">
        <v>5.4</v>
      </c>
      <c r="F14" s="107">
        <v>3.1</v>
      </c>
      <c r="G14" s="107">
        <v>78</v>
      </c>
      <c r="H14" s="107">
        <f t="shared" si="0"/>
        <v>241.8</v>
      </c>
    </row>
    <row r="15" spans="2:8" ht="39.75" customHeight="1" x14ac:dyDescent="0.3">
      <c r="C15" s="695" t="s">
        <v>173</v>
      </c>
      <c r="D15" s="695"/>
      <c r="E15" s="695"/>
    </row>
    <row r="17" spans="1:10" ht="16.2" x14ac:dyDescent="0.3">
      <c r="B17" s="107" t="s">
        <v>2</v>
      </c>
      <c r="C17" s="107" t="s">
        <v>166</v>
      </c>
      <c r="E17" s="107" t="s">
        <v>155</v>
      </c>
      <c r="H17" s="107" t="s">
        <v>174</v>
      </c>
    </row>
    <row r="18" spans="1:10" x14ac:dyDescent="0.3">
      <c r="B18" s="107">
        <v>1</v>
      </c>
      <c r="C18" s="107" t="s">
        <v>171</v>
      </c>
      <c r="D18" s="107">
        <v>30</v>
      </c>
      <c r="E18" s="107">
        <v>-6.6</v>
      </c>
      <c r="F18" s="107">
        <v>3.1</v>
      </c>
      <c r="G18" s="107">
        <f>164+20.6</f>
        <v>184.6</v>
      </c>
      <c r="H18" s="107">
        <f t="shared" ref="H18:H24" si="1">F18*G18</f>
        <v>572.26</v>
      </c>
    </row>
    <row r="19" spans="1:10" x14ac:dyDescent="0.3">
      <c r="B19" s="107">
        <v>2</v>
      </c>
      <c r="C19" s="107" t="s">
        <v>171</v>
      </c>
      <c r="D19" s="107">
        <v>25</v>
      </c>
      <c r="E19" s="107">
        <v>-6.6</v>
      </c>
      <c r="F19" s="107">
        <v>3.1</v>
      </c>
      <c r="G19" s="107">
        <v>11.9</v>
      </c>
      <c r="H19" s="107">
        <f t="shared" si="1"/>
        <v>36.89</v>
      </c>
    </row>
    <row r="20" spans="1:10" x14ac:dyDescent="0.3">
      <c r="B20" s="107">
        <v>3</v>
      </c>
      <c r="C20" s="107" t="s">
        <v>171</v>
      </c>
      <c r="D20" s="107">
        <v>30</v>
      </c>
      <c r="E20" s="107">
        <v>-3.3</v>
      </c>
      <c r="F20" s="107">
        <v>3.1</v>
      </c>
      <c r="G20" s="107">
        <v>196</v>
      </c>
      <c r="H20" s="107">
        <f t="shared" si="1"/>
        <v>607.6</v>
      </c>
    </row>
    <row r="21" spans="1:10" x14ac:dyDescent="0.3">
      <c r="B21" s="107">
        <v>4</v>
      </c>
      <c r="C21" s="107" t="s">
        <v>171</v>
      </c>
      <c r="D21" s="107">
        <v>25</v>
      </c>
      <c r="E21" s="107">
        <v>-3.3</v>
      </c>
      <c r="F21" s="107">
        <v>3.1</v>
      </c>
      <c r="G21" s="107">
        <v>11.9</v>
      </c>
      <c r="H21" s="107">
        <f t="shared" si="1"/>
        <v>36.89</v>
      </c>
    </row>
    <row r="22" spans="1:10" x14ac:dyDescent="0.3">
      <c r="B22" s="107">
        <v>5</v>
      </c>
      <c r="C22" s="107" t="s">
        <v>171</v>
      </c>
      <c r="D22" s="107">
        <v>25</v>
      </c>
      <c r="E22" s="111" t="s">
        <v>175</v>
      </c>
      <c r="F22" s="107">
        <v>5.2</v>
      </c>
      <c r="G22" s="107">
        <v>49.9</v>
      </c>
      <c r="H22" s="107">
        <f t="shared" si="1"/>
        <v>259.48</v>
      </c>
    </row>
    <row r="23" spans="1:10" x14ac:dyDescent="0.3">
      <c r="B23" s="107">
        <v>6</v>
      </c>
      <c r="C23" s="107" t="s">
        <v>172</v>
      </c>
      <c r="D23" s="107">
        <v>20</v>
      </c>
      <c r="E23" s="111" t="s">
        <v>175</v>
      </c>
      <c r="F23" s="107">
        <v>5.2</v>
      </c>
      <c r="G23" s="107">
        <v>87</v>
      </c>
      <c r="H23" s="107">
        <f t="shared" si="1"/>
        <v>452.40000000000003</v>
      </c>
    </row>
    <row r="24" spans="1:10" x14ac:dyDescent="0.3">
      <c r="B24" s="107">
        <v>7</v>
      </c>
      <c r="C24" s="107" t="s">
        <v>172</v>
      </c>
      <c r="D24" s="107">
        <v>10</v>
      </c>
      <c r="E24" s="111" t="s">
        <v>175</v>
      </c>
      <c r="F24" s="107">
        <v>5.2</v>
      </c>
      <c r="G24" s="107">
        <v>27</v>
      </c>
      <c r="H24" s="107">
        <f t="shared" si="1"/>
        <v>140.4</v>
      </c>
    </row>
    <row r="25" spans="1:10" x14ac:dyDescent="0.3">
      <c r="B25" s="107">
        <v>8</v>
      </c>
    </row>
    <row r="26" spans="1:10" s="114" customFormat="1" x14ac:dyDescent="0.3">
      <c r="B26" s="114">
        <v>9</v>
      </c>
    </row>
    <row r="27" spans="1:10" x14ac:dyDescent="0.3">
      <c r="A27"/>
      <c r="B27" t="s">
        <v>176</v>
      </c>
      <c r="C27" t="s">
        <v>177</v>
      </c>
      <c r="D27" t="s">
        <v>176</v>
      </c>
      <c r="E27" t="s">
        <v>177</v>
      </c>
      <c r="F27" t="s">
        <v>176</v>
      </c>
      <c r="G27" t="s">
        <v>177</v>
      </c>
      <c r="H27" t="s">
        <v>178</v>
      </c>
      <c r="I27" t="s">
        <v>156</v>
      </c>
      <c r="J27" t="s">
        <v>179</v>
      </c>
    </row>
    <row r="28" spans="1:10" x14ac:dyDescent="0.3">
      <c r="A28">
        <v>1</v>
      </c>
      <c r="B28">
        <v>50.47</v>
      </c>
      <c r="C28">
        <v>10.23</v>
      </c>
      <c r="D28">
        <v>50.47</v>
      </c>
      <c r="E28">
        <v>10.23</v>
      </c>
      <c r="F28">
        <v>86.67</v>
      </c>
      <c r="G28">
        <v>21.65</v>
      </c>
      <c r="H28"/>
      <c r="I28"/>
      <c r="J28"/>
    </row>
    <row r="29" spans="1:10" x14ac:dyDescent="0.3">
      <c r="A29">
        <v>2</v>
      </c>
      <c r="B29">
        <v>53.54</v>
      </c>
      <c r="C29">
        <v>10.220000000000001</v>
      </c>
      <c r="D29">
        <v>53.54</v>
      </c>
      <c r="E29">
        <v>10.220000000000001</v>
      </c>
      <c r="F29">
        <v>37.51</v>
      </c>
      <c r="G29">
        <v>21.5</v>
      </c>
      <c r="H29"/>
      <c r="I29"/>
      <c r="J29"/>
    </row>
    <row r="30" spans="1:10" x14ac:dyDescent="0.3">
      <c r="A30">
        <v>3</v>
      </c>
      <c r="B30">
        <v>48.78</v>
      </c>
      <c r="C30">
        <v>10.24</v>
      </c>
      <c r="D30">
        <v>48.78</v>
      </c>
      <c r="E30">
        <v>10.24</v>
      </c>
      <c r="F30">
        <v>76.98</v>
      </c>
      <c r="G30">
        <f>11.15+44.8</f>
        <v>55.949999999999996</v>
      </c>
      <c r="H30"/>
      <c r="I30"/>
      <c r="J30"/>
    </row>
    <row r="31" spans="1:10" x14ac:dyDescent="0.3">
      <c r="A31">
        <v>4</v>
      </c>
      <c r="B31">
        <v>23.69</v>
      </c>
      <c r="C31">
        <v>7.25</v>
      </c>
      <c r="D31">
        <v>23.69</v>
      </c>
      <c r="E31">
        <v>7.25</v>
      </c>
      <c r="F31">
        <v>39.47</v>
      </c>
      <c r="G31">
        <v>20.93</v>
      </c>
      <c r="H31"/>
      <c r="I31"/>
      <c r="J31"/>
    </row>
    <row r="32" spans="1:10" x14ac:dyDescent="0.3">
      <c r="A32">
        <v>5</v>
      </c>
      <c r="B32">
        <v>85.42</v>
      </c>
      <c r="C32">
        <f>8.88+7.92</f>
        <v>16.8</v>
      </c>
      <c r="D32">
        <v>85.42</v>
      </c>
      <c r="E32">
        <v>16.8</v>
      </c>
      <c r="F32">
        <v>51.33</v>
      </c>
      <c r="G32">
        <v>20.63</v>
      </c>
      <c r="H32"/>
      <c r="I32"/>
      <c r="J32"/>
    </row>
    <row r="33" spans="1:10" x14ac:dyDescent="0.3">
      <c r="A33">
        <v>6</v>
      </c>
      <c r="B33">
        <v>48.39</v>
      </c>
      <c r="C33">
        <v>12.32</v>
      </c>
      <c r="D33">
        <v>48.39</v>
      </c>
      <c r="E33">
        <v>12.32</v>
      </c>
      <c r="F33"/>
      <c r="G33"/>
      <c r="H33"/>
      <c r="I33"/>
      <c r="J33"/>
    </row>
    <row r="34" spans="1:10" x14ac:dyDescent="0.3">
      <c r="A34">
        <v>7</v>
      </c>
      <c r="B34">
        <v>64.92</v>
      </c>
      <c r="C34">
        <v>12</v>
      </c>
      <c r="D34">
        <v>60.17</v>
      </c>
      <c r="E34">
        <v>12</v>
      </c>
      <c r="F34"/>
      <c r="G34"/>
      <c r="H34"/>
      <c r="I34"/>
      <c r="J34"/>
    </row>
    <row r="35" spans="1:10" x14ac:dyDescent="0.3">
      <c r="A35">
        <v>8</v>
      </c>
      <c r="B35">
        <v>60.57</v>
      </c>
      <c r="C35">
        <v>11.29</v>
      </c>
      <c r="D35"/>
      <c r="E35"/>
      <c r="F35"/>
      <c r="G35"/>
      <c r="H35"/>
      <c r="I35"/>
      <c r="J35"/>
    </row>
    <row r="36" spans="1:10" x14ac:dyDescent="0.3">
      <c r="A36">
        <v>9</v>
      </c>
      <c r="B36">
        <v>24.94</v>
      </c>
      <c r="C36">
        <v>7.2</v>
      </c>
      <c r="D36"/>
      <c r="E36"/>
      <c r="F36"/>
      <c r="G36"/>
      <c r="H36"/>
      <c r="I36"/>
      <c r="J36"/>
    </row>
    <row r="37" spans="1:10" x14ac:dyDescent="0.3">
      <c r="A37">
        <v>10</v>
      </c>
      <c r="B37">
        <v>48.53</v>
      </c>
      <c r="C37">
        <v>10.5</v>
      </c>
      <c r="D37"/>
      <c r="E37"/>
      <c r="F37"/>
      <c r="G37"/>
      <c r="H37"/>
      <c r="I37"/>
      <c r="J37"/>
    </row>
    <row r="38" spans="1:10" x14ac:dyDescent="0.3">
      <c r="A38">
        <v>11</v>
      </c>
      <c r="B38">
        <v>26.33</v>
      </c>
      <c r="C38">
        <v>8</v>
      </c>
      <c r="D38"/>
      <c r="E38"/>
      <c r="F38"/>
      <c r="G38"/>
      <c r="H38"/>
      <c r="I38"/>
      <c r="J38"/>
    </row>
    <row r="39" spans="1:10" x14ac:dyDescent="0.3">
      <c r="A39">
        <v>12</v>
      </c>
      <c r="B39">
        <v>49.6</v>
      </c>
      <c r="C39">
        <v>11.7</v>
      </c>
      <c r="D39"/>
      <c r="E39"/>
      <c r="F39"/>
      <c r="G39"/>
      <c r="H39"/>
      <c r="I39"/>
      <c r="J39"/>
    </row>
    <row r="40" spans="1:10" x14ac:dyDescent="0.3">
      <c r="A40">
        <v>13</v>
      </c>
      <c r="B40">
        <v>27.8</v>
      </c>
      <c r="C40">
        <v>8</v>
      </c>
      <c r="D40"/>
      <c r="E40"/>
      <c r="F40"/>
      <c r="G40"/>
      <c r="H40"/>
      <c r="I40"/>
      <c r="J40"/>
    </row>
    <row r="41" spans="1:10" x14ac:dyDescent="0.3">
      <c r="A41">
        <v>14</v>
      </c>
      <c r="B41">
        <v>53.24</v>
      </c>
      <c r="C41">
        <v>12.58</v>
      </c>
      <c r="D41"/>
      <c r="E41"/>
      <c r="F41"/>
      <c r="G41"/>
      <c r="H41"/>
      <c r="I41"/>
      <c r="J41"/>
    </row>
    <row r="42" spans="1:10" x14ac:dyDescent="0.3">
      <c r="A42">
        <v>15</v>
      </c>
      <c r="B42">
        <v>83.23</v>
      </c>
      <c r="C42">
        <v>19.46</v>
      </c>
      <c r="D42"/>
      <c r="E42"/>
      <c r="F42"/>
      <c r="G42"/>
      <c r="H42"/>
      <c r="I42"/>
      <c r="J42"/>
    </row>
    <row r="43" spans="1:10" x14ac:dyDescent="0.3">
      <c r="A43">
        <v>16</v>
      </c>
      <c r="B43">
        <v>24.94</v>
      </c>
      <c r="C43">
        <v>7.2</v>
      </c>
      <c r="D43"/>
      <c r="E43"/>
      <c r="F43"/>
      <c r="G43"/>
      <c r="H43"/>
      <c r="I43"/>
      <c r="J43"/>
    </row>
    <row r="44" spans="1:10" x14ac:dyDescent="0.3">
      <c r="A44">
        <v>17</v>
      </c>
      <c r="B44">
        <v>50.75</v>
      </c>
      <c r="C44">
        <v>12.75</v>
      </c>
      <c r="D44"/>
      <c r="E44"/>
      <c r="F44"/>
      <c r="G44"/>
      <c r="H44"/>
      <c r="I44"/>
      <c r="J44"/>
    </row>
    <row r="45" spans="1:10" x14ac:dyDescent="0.3">
      <c r="A45">
        <v>18</v>
      </c>
      <c r="B45">
        <v>45.16</v>
      </c>
      <c r="C45">
        <v>10.95</v>
      </c>
      <c r="D45"/>
      <c r="E45"/>
      <c r="F45"/>
      <c r="G45"/>
      <c r="H45"/>
      <c r="I45"/>
      <c r="J45"/>
    </row>
    <row r="46" spans="1:10" x14ac:dyDescent="0.3">
      <c r="A46">
        <v>19</v>
      </c>
      <c r="B46">
        <v>47.49</v>
      </c>
      <c r="C46">
        <v>10.53</v>
      </c>
      <c r="D46"/>
      <c r="E46"/>
      <c r="F46"/>
      <c r="G46"/>
      <c r="H46"/>
      <c r="I46"/>
      <c r="J46"/>
    </row>
    <row r="47" spans="1:10" x14ac:dyDescent="0.3">
      <c r="A47">
        <v>20</v>
      </c>
      <c r="B47">
        <v>46.21</v>
      </c>
      <c r="C47">
        <v>10.95</v>
      </c>
      <c r="D47"/>
      <c r="E47"/>
      <c r="F47"/>
      <c r="G47"/>
      <c r="H47"/>
      <c r="I47"/>
      <c r="J47"/>
    </row>
    <row r="48" spans="1:10" x14ac:dyDescent="0.3">
      <c r="A48"/>
      <c r="B48">
        <f>SUM(B28:B47)</f>
        <v>964.00000000000011</v>
      </c>
      <c r="C48">
        <f>SUM(C28:C47)</f>
        <v>220.17</v>
      </c>
      <c r="D48">
        <f t="shared" ref="D48:H48" si="2">SUM(D28:D47)</f>
        <v>370.46</v>
      </c>
      <c r="E48">
        <f t="shared" si="2"/>
        <v>79.06</v>
      </c>
      <c r="F48">
        <f t="shared" si="2"/>
        <v>291.96000000000004</v>
      </c>
      <c r="G48">
        <f t="shared" si="2"/>
        <v>140.66</v>
      </c>
      <c r="H48">
        <f t="shared" si="2"/>
        <v>0</v>
      </c>
      <c r="I48"/>
      <c r="J48"/>
    </row>
    <row r="49" spans="1:10" x14ac:dyDescent="0.3">
      <c r="A49"/>
      <c r="B49"/>
      <c r="C49"/>
      <c r="D49"/>
      <c r="E49"/>
      <c r="F49"/>
      <c r="G49"/>
      <c r="H49"/>
      <c r="I49"/>
      <c r="J49"/>
    </row>
    <row r="50" spans="1:10" x14ac:dyDescent="0.3">
      <c r="A50"/>
      <c r="B50">
        <f>B48*7</f>
        <v>6748.0000000000009</v>
      </c>
      <c r="C50">
        <f>C48*7</f>
        <v>1541.1899999999998</v>
      </c>
      <c r="D50">
        <f>D48*10</f>
        <v>3704.6</v>
      </c>
      <c r="E50">
        <f>E48*10</f>
        <v>790.6</v>
      </c>
      <c r="F50">
        <f>F48</f>
        <v>291.96000000000004</v>
      </c>
      <c r="G50">
        <f>G48</f>
        <v>140.66</v>
      </c>
      <c r="H50"/>
      <c r="I50">
        <f>200*7+115*10+60+151.5</f>
        <v>2761.5</v>
      </c>
      <c r="J50"/>
    </row>
    <row r="51" spans="1:10" x14ac:dyDescent="0.3">
      <c r="A51"/>
      <c r="B51"/>
      <c r="C51"/>
      <c r="D51"/>
      <c r="E51"/>
      <c r="F51"/>
      <c r="G51"/>
      <c r="H51"/>
      <c r="I51">
        <f>115*10+60+151.5</f>
        <v>1361.5</v>
      </c>
      <c r="J51"/>
    </row>
    <row r="52" spans="1:10" x14ac:dyDescent="0.3">
      <c r="A52"/>
      <c r="B52"/>
      <c r="C52">
        <f>B50+C50+D50+E50+F50+G50+I50</f>
        <v>15978.510000000002</v>
      </c>
      <c r="D52"/>
      <c r="E52"/>
      <c r="F52"/>
      <c r="G52"/>
      <c r="H52"/>
      <c r="I52"/>
      <c r="J52"/>
    </row>
    <row r="53" spans="1:10" x14ac:dyDescent="0.3">
      <c r="A53"/>
      <c r="B53"/>
      <c r="C53"/>
      <c r="D53"/>
      <c r="E53"/>
      <c r="F53"/>
      <c r="G53"/>
      <c r="H53"/>
      <c r="I53"/>
      <c r="J53"/>
    </row>
    <row r="54" spans="1:10" x14ac:dyDescent="0.3">
      <c r="A54"/>
      <c r="B54"/>
      <c r="C54"/>
      <c r="D54"/>
      <c r="E54"/>
      <c r="F54"/>
      <c r="G54"/>
      <c r="H54">
        <f>37+22</f>
        <v>59</v>
      </c>
      <c r="I54"/>
      <c r="J54"/>
    </row>
    <row r="55" spans="1:10" s="114" customFormat="1" x14ac:dyDescent="0.3">
      <c r="A55" s="113"/>
      <c r="B55" s="113"/>
      <c r="C55" s="113"/>
      <c r="D55" s="113"/>
      <c r="E55" s="113"/>
      <c r="F55" s="113"/>
      <c r="G55" s="113"/>
      <c r="H55" s="113"/>
      <c r="I55" s="113"/>
      <c r="J55" s="113"/>
    </row>
    <row r="56" spans="1:10" x14ac:dyDescent="0.3">
      <c r="A56"/>
      <c r="B56"/>
      <c r="C56"/>
      <c r="D56"/>
      <c r="E56"/>
      <c r="F56"/>
      <c r="G56"/>
      <c r="H56"/>
      <c r="I56"/>
      <c r="J56"/>
    </row>
    <row r="57" spans="1:10" x14ac:dyDescent="0.3">
      <c r="A57"/>
      <c r="B57"/>
      <c r="C57"/>
      <c r="D57"/>
      <c r="E57"/>
      <c r="F57" t="s">
        <v>180</v>
      </c>
      <c r="G57"/>
      <c r="H57"/>
    </row>
    <row r="58" spans="1:10" x14ac:dyDescent="0.3">
      <c r="A58">
        <v>1</v>
      </c>
      <c r="B58">
        <v>2937.77</v>
      </c>
      <c r="C58"/>
      <c r="D58"/>
      <c r="E58"/>
      <c r="F58">
        <v>4</v>
      </c>
      <c r="G58"/>
      <c r="H58"/>
    </row>
    <row r="59" spans="1:10" x14ac:dyDescent="0.3">
      <c r="A59">
        <v>2</v>
      </c>
      <c r="B59">
        <v>2083.9</v>
      </c>
      <c r="C59">
        <v>790.97</v>
      </c>
      <c r="D59"/>
      <c r="E59"/>
      <c r="F59"/>
      <c r="G59"/>
      <c r="H59"/>
    </row>
    <row r="60" spans="1:10" x14ac:dyDescent="0.3">
      <c r="A60">
        <v>3</v>
      </c>
      <c r="B60">
        <v>659.31</v>
      </c>
      <c r="C60">
        <v>543.79</v>
      </c>
      <c r="D60">
        <f>543.9+659.31</f>
        <v>1203.21</v>
      </c>
      <c r="E60"/>
      <c r="F60">
        <v>4</v>
      </c>
      <c r="G60">
        <f>103.53+91.01+174.22+121.94+641.64+57.24</f>
        <v>1189.58</v>
      </c>
      <c r="H60"/>
    </row>
    <row r="61" spans="1:10" x14ac:dyDescent="0.3">
      <c r="A61">
        <v>1</v>
      </c>
      <c r="B61">
        <v>1530.72</v>
      </c>
      <c r="C61"/>
      <c r="D61"/>
      <c r="E61">
        <v>25850.99</v>
      </c>
      <c r="F61" s="112" t="s">
        <v>181</v>
      </c>
      <c r="G61"/>
      <c r="H61"/>
    </row>
    <row r="62" spans="1:10" x14ac:dyDescent="0.3">
      <c r="A62">
        <v>2</v>
      </c>
      <c r="B62">
        <v>2</v>
      </c>
      <c r="C62"/>
      <c r="D62"/>
      <c r="E62"/>
      <c r="F62" s="112" t="s">
        <v>181</v>
      </c>
      <c r="G62"/>
      <c r="H62"/>
    </row>
    <row r="63" spans="1:10" x14ac:dyDescent="0.3">
      <c r="A63">
        <v>3</v>
      </c>
      <c r="B63">
        <v>3</v>
      </c>
      <c r="C63"/>
      <c r="D63"/>
      <c r="E63"/>
      <c r="F63" s="112" t="s">
        <v>181</v>
      </c>
      <c r="G63"/>
      <c r="H63"/>
    </row>
    <row r="64" spans="1:10" x14ac:dyDescent="0.3">
      <c r="A64">
        <v>4</v>
      </c>
      <c r="B64">
        <v>4</v>
      </c>
      <c r="C64"/>
      <c r="D64"/>
      <c r="E64"/>
      <c r="F64" s="112" t="s">
        <v>181</v>
      </c>
      <c r="G64"/>
      <c r="H64"/>
    </row>
    <row r="65" spans="1:8" x14ac:dyDescent="0.3">
      <c r="A65">
        <v>5</v>
      </c>
      <c r="B65">
        <v>5</v>
      </c>
      <c r="C65"/>
      <c r="D65"/>
      <c r="E65"/>
      <c r="F65" s="112" t="s">
        <v>181</v>
      </c>
      <c r="G65"/>
      <c r="H65"/>
    </row>
    <row r="66" spans="1:8" x14ac:dyDescent="0.3">
      <c r="A66">
        <v>6</v>
      </c>
      <c r="B66">
        <v>6</v>
      </c>
      <c r="C66"/>
      <c r="D66"/>
      <c r="E66"/>
      <c r="F66" s="112" t="s">
        <v>181</v>
      </c>
      <c r="G66"/>
      <c r="H66"/>
    </row>
    <row r="67" spans="1:8" x14ac:dyDescent="0.3">
      <c r="A67">
        <v>7</v>
      </c>
      <c r="B67">
        <v>7</v>
      </c>
      <c r="C67"/>
      <c r="D67"/>
      <c r="E67"/>
      <c r="F67" s="112" t="s">
        <v>181</v>
      </c>
      <c r="G67"/>
      <c r="H67"/>
    </row>
    <row r="68" spans="1:8" x14ac:dyDescent="0.3">
      <c r="A68">
        <v>8</v>
      </c>
      <c r="B68"/>
      <c r="C68">
        <v>8</v>
      </c>
      <c r="D68"/>
      <c r="E68"/>
      <c r="F68" s="112" t="s">
        <v>182</v>
      </c>
      <c r="G68"/>
      <c r="H68"/>
    </row>
    <row r="69" spans="1:8" x14ac:dyDescent="0.3">
      <c r="A69">
        <v>9</v>
      </c>
      <c r="B69"/>
      <c r="C69">
        <v>552.73</v>
      </c>
      <c r="D69"/>
      <c r="E69"/>
      <c r="F69" s="112" t="s">
        <v>182</v>
      </c>
      <c r="G69"/>
      <c r="H69"/>
    </row>
    <row r="70" spans="1:8" x14ac:dyDescent="0.3">
      <c r="A70">
        <v>10</v>
      </c>
      <c r="B70"/>
      <c r="C70"/>
      <c r="D70"/>
      <c r="E70"/>
      <c r="F70" s="112" t="s">
        <v>182</v>
      </c>
      <c r="G70"/>
      <c r="H70"/>
    </row>
    <row r="71" spans="1:8" x14ac:dyDescent="0.3">
      <c r="A71">
        <v>11</v>
      </c>
      <c r="B71"/>
      <c r="C71"/>
      <c r="D71"/>
      <c r="E71"/>
      <c r="F71" s="112" t="s">
        <v>182</v>
      </c>
      <c r="G71"/>
      <c r="H71"/>
    </row>
    <row r="72" spans="1:8" x14ac:dyDescent="0.3">
      <c r="A72">
        <v>12</v>
      </c>
      <c r="B72"/>
      <c r="C72"/>
      <c r="D72"/>
      <c r="E72"/>
      <c r="F72" s="112" t="s">
        <v>182</v>
      </c>
      <c r="G72"/>
      <c r="H72"/>
    </row>
    <row r="73" spans="1:8" x14ac:dyDescent="0.3">
      <c r="A73">
        <v>13</v>
      </c>
      <c r="B73"/>
      <c r="C73"/>
      <c r="D73"/>
      <c r="E73"/>
      <c r="F73" s="112" t="s">
        <v>182</v>
      </c>
      <c r="G73"/>
      <c r="H73"/>
    </row>
    <row r="74" spans="1:8" x14ac:dyDescent="0.3">
      <c r="A74">
        <v>14</v>
      </c>
      <c r="B74"/>
      <c r="C74"/>
      <c r="D74"/>
      <c r="E74"/>
      <c r="F74" s="112" t="s">
        <v>182</v>
      </c>
      <c r="G74"/>
      <c r="H74"/>
    </row>
    <row r="75" spans="1:8" x14ac:dyDescent="0.3">
      <c r="A75">
        <v>15</v>
      </c>
      <c r="B75"/>
      <c r="C75"/>
      <c r="D75"/>
      <c r="E75"/>
      <c r="F75" s="112" t="s">
        <v>182</v>
      </c>
      <c r="G75"/>
      <c r="H75"/>
    </row>
    <row r="76" spans="1:8" x14ac:dyDescent="0.3">
      <c r="A76">
        <v>16</v>
      </c>
      <c r="B76"/>
      <c r="C76"/>
      <c r="D76"/>
      <c r="E76"/>
      <c r="F76" s="112" t="s">
        <v>182</v>
      </c>
      <c r="G76"/>
      <c r="H76"/>
    </row>
    <row r="77" spans="1:8" x14ac:dyDescent="0.3">
      <c r="A77">
        <v>17</v>
      </c>
      <c r="B77"/>
      <c r="C77"/>
      <c r="D77"/>
      <c r="E77"/>
      <c r="F77" s="112" t="s">
        <v>182</v>
      </c>
      <c r="G77"/>
      <c r="H77"/>
    </row>
    <row r="78" spans="1:8" x14ac:dyDescent="0.3">
      <c r="A78">
        <v>18</v>
      </c>
      <c r="B78"/>
      <c r="C78">
        <v>412.46</v>
      </c>
      <c r="D78"/>
      <c r="E78"/>
      <c r="F78" s="112" t="s">
        <v>183</v>
      </c>
      <c r="G78"/>
      <c r="H78"/>
    </row>
    <row r="79" spans="1:8" x14ac:dyDescent="0.3">
      <c r="A79">
        <v>19</v>
      </c>
      <c r="B79"/>
      <c r="C79"/>
      <c r="D79"/>
      <c r="E79"/>
      <c r="F79">
        <v>4</v>
      </c>
      <c r="G79"/>
      <c r="H79"/>
    </row>
    <row r="80" spans="1:8" x14ac:dyDescent="0.3">
      <c r="A80"/>
      <c r="B80"/>
      <c r="C80"/>
      <c r="D80"/>
      <c r="E80"/>
      <c r="F80"/>
      <c r="G80"/>
      <c r="H80"/>
    </row>
    <row r="81" spans="1:8" x14ac:dyDescent="0.3">
      <c r="A81"/>
      <c r="B81"/>
      <c r="C81"/>
      <c r="D81"/>
      <c r="E81"/>
      <c r="F81"/>
      <c r="G81"/>
      <c r="H81"/>
    </row>
    <row r="82" spans="1:8" x14ac:dyDescent="0.3">
      <c r="A82"/>
      <c r="B82"/>
      <c r="C82"/>
      <c r="D82"/>
      <c r="E82"/>
      <c r="F82"/>
      <c r="G82"/>
      <c r="H82"/>
    </row>
    <row r="83" spans="1:8" x14ac:dyDescent="0.3">
      <c r="A83"/>
      <c r="B83">
        <v>15978.510000000002</v>
      </c>
      <c r="C83"/>
      <c r="D83"/>
      <c r="E83"/>
      <c r="F83">
        <f>4*3+7*8+55</f>
        <v>123</v>
      </c>
      <c r="G83"/>
      <c r="H83"/>
    </row>
    <row r="84" spans="1:8" x14ac:dyDescent="0.3">
      <c r="A84"/>
      <c r="B84"/>
      <c r="C84"/>
      <c r="D84"/>
      <c r="E84"/>
      <c r="F84"/>
      <c r="G84"/>
      <c r="H84"/>
    </row>
    <row r="85" spans="1:8" x14ac:dyDescent="0.3">
      <c r="A85"/>
      <c r="B85">
        <f>B83+B58+B59+C59+B60+C60</f>
        <v>22994.250000000007</v>
      </c>
      <c r="C85"/>
      <c r="D85"/>
      <c r="E85"/>
      <c r="F85"/>
      <c r="G85"/>
      <c r="H85"/>
    </row>
    <row r="86" spans="1:8" x14ac:dyDescent="0.3">
      <c r="A86"/>
      <c r="B86">
        <v>25850.99</v>
      </c>
      <c r="C86"/>
      <c r="D86"/>
      <c r="E86"/>
      <c r="F86"/>
      <c r="G86"/>
      <c r="H86"/>
    </row>
    <row r="87" spans="1:8" s="114" customFormat="1" x14ac:dyDescent="0.3">
      <c r="A87" s="113"/>
      <c r="B87" s="113"/>
      <c r="C87" s="113"/>
      <c r="D87" s="113"/>
      <c r="E87" s="113"/>
      <c r="F87" s="113"/>
      <c r="G87" s="113"/>
      <c r="H87" s="113"/>
    </row>
    <row r="88" spans="1:8" x14ac:dyDescent="0.3">
      <c r="A88"/>
      <c r="B88"/>
      <c r="C88"/>
      <c r="D88"/>
      <c r="E88"/>
      <c r="F88"/>
      <c r="G88"/>
      <c r="H88"/>
    </row>
  </sheetData>
  <mergeCells count="2">
    <mergeCell ref="C1:E1"/>
    <mergeCell ref="C15: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07AC9-D315-4CB1-AD08-747D02E5D9BA}">
  <dimension ref="A1:F15"/>
  <sheetViews>
    <sheetView tabSelected="1" workbookViewId="0">
      <selection activeCell="C6" sqref="C6"/>
    </sheetView>
  </sheetViews>
  <sheetFormatPr defaultRowHeight="14.4" x14ac:dyDescent="0.3"/>
  <cols>
    <col min="1" max="1" width="6" customWidth="1"/>
    <col min="2" max="2" width="46.88671875" customWidth="1"/>
    <col min="3" max="3" width="24.44140625" customWidth="1"/>
    <col min="4" max="4" width="28.44140625" customWidth="1"/>
    <col min="5" max="5" width="17.6640625" customWidth="1"/>
    <col min="6" max="6" width="11.5546875" bestFit="1" customWidth="1"/>
  </cols>
  <sheetData>
    <row r="1" spans="1:6" ht="36" customHeight="1" x14ac:dyDescent="0.3">
      <c r="A1" s="361"/>
      <c r="B1" s="696" t="s">
        <v>357</v>
      </c>
      <c r="C1" s="696"/>
      <c r="D1" s="696"/>
    </row>
    <row r="2" spans="1:6" ht="15.75" customHeight="1" x14ac:dyDescent="0.3">
      <c r="A2" s="361"/>
      <c r="B2" s="696" t="s">
        <v>358</v>
      </c>
      <c r="C2" s="696"/>
      <c r="D2" s="696"/>
    </row>
    <row r="3" spans="1:6" ht="15" thickBot="1" x14ac:dyDescent="0.35">
      <c r="A3" s="362"/>
      <c r="B3" s="362"/>
      <c r="C3" s="362"/>
      <c r="D3" s="363"/>
      <c r="E3">
        <v>2.62</v>
      </c>
    </row>
    <row r="4" spans="1:6" ht="15" customHeight="1" x14ac:dyDescent="0.3">
      <c r="A4" s="697" t="s">
        <v>359</v>
      </c>
      <c r="B4" s="697" t="s">
        <v>360</v>
      </c>
      <c r="C4" s="699" t="s">
        <v>361</v>
      </c>
      <c r="D4" s="699" t="s">
        <v>362</v>
      </c>
    </row>
    <row r="5" spans="1:6" ht="15.75" customHeight="1" thickBot="1" x14ac:dyDescent="0.35">
      <c r="A5" s="698"/>
      <c r="B5" s="698"/>
      <c r="C5" s="700"/>
      <c r="D5" s="700"/>
    </row>
    <row r="6" spans="1:6" ht="44.25" customHeight="1" thickBot="1" x14ac:dyDescent="0.35">
      <c r="A6" s="364">
        <v>1</v>
      </c>
      <c r="B6" s="365" t="s">
        <v>363</v>
      </c>
      <c r="C6" s="366">
        <f>კედელი!L169</f>
        <v>0</v>
      </c>
      <c r="D6" s="367">
        <f>C6/E3</f>
        <v>0</v>
      </c>
    </row>
    <row r="7" spans="1:6" ht="36" customHeight="1" thickBot="1" x14ac:dyDescent="0.35">
      <c r="A7" s="364">
        <v>2</v>
      </c>
      <c r="B7" s="365" t="s">
        <v>364</v>
      </c>
      <c r="C7" s="366">
        <f>'იატაკი '!L526</f>
        <v>0</v>
      </c>
      <c r="D7" s="367">
        <f>C7/E3</f>
        <v>0</v>
      </c>
    </row>
    <row r="8" spans="1:6" ht="36" customHeight="1" thickBot="1" x14ac:dyDescent="0.35">
      <c r="A8" s="364">
        <v>4</v>
      </c>
      <c r="B8" s="365" t="s">
        <v>365</v>
      </c>
      <c r="C8" s="366">
        <f>ჭერი!L75</f>
        <v>0</v>
      </c>
      <c r="D8" s="367">
        <f>C8/E3</f>
        <v>0</v>
      </c>
    </row>
    <row r="9" spans="1:6" ht="44.25" customHeight="1" thickBot="1" x14ac:dyDescent="0.35">
      <c r="A9" s="364">
        <v>5</v>
      </c>
      <c r="B9" s="365" t="s">
        <v>366</v>
      </c>
      <c r="C9" s="366">
        <f>კარები!N40</f>
        <v>0</v>
      </c>
      <c r="D9" s="367">
        <f>C9/E3</f>
        <v>0</v>
      </c>
    </row>
    <row r="10" spans="1:6" ht="44.25" customHeight="1" thickBot="1" x14ac:dyDescent="0.35">
      <c r="A10" s="364">
        <v>5</v>
      </c>
      <c r="B10" s="365" t="s">
        <v>432</v>
      </c>
      <c r="C10" s="366">
        <f>კარები!N40</f>
        <v>0</v>
      </c>
      <c r="D10" s="367">
        <f>C10/E3</f>
        <v>0</v>
      </c>
    </row>
    <row r="11" spans="1:6" ht="36" customHeight="1" thickBot="1" x14ac:dyDescent="0.35">
      <c r="A11" s="364">
        <v>6</v>
      </c>
      <c r="B11" s="365" t="s">
        <v>433</v>
      </c>
      <c r="C11" s="366">
        <f>მოაჯირები!L58</f>
        <v>0</v>
      </c>
      <c r="D11" s="367">
        <f>C11/E3</f>
        <v>0</v>
      </c>
    </row>
    <row r="12" spans="1:6" ht="36" customHeight="1" thickBot="1" x14ac:dyDescent="0.35">
      <c r="A12" s="610">
        <v>7</v>
      </c>
      <c r="B12" s="611" t="s">
        <v>485</v>
      </c>
      <c r="C12" s="612">
        <f>ფასადი!L222</f>
        <v>0</v>
      </c>
      <c r="D12" s="367">
        <f>C12/E3</f>
        <v>0</v>
      </c>
    </row>
    <row r="13" spans="1:6" ht="15" thickBot="1" x14ac:dyDescent="0.35">
      <c r="A13" s="368"/>
      <c r="B13" s="369"/>
      <c r="C13" s="370">
        <f>SUM(C6:C12)</f>
        <v>0</v>
      </c>
      <c r="D13" s="371">
        <f>SUM(D6:D12)</f>
        <v>0</v>
      </c>
      <c r="F13" s="421"/>
    </row>
    <row r="14" spans="1:6" ht="15" thickBot="1" x14ac:dyDescent="0.35">
      <c r="A14" s="372"/>
      <c r="B14" s="373">
        <v>0.18</v>
      </c>
      <c r="C14" s="374">
        <f>C13*B14</f>
        <v>0</v>
      </c>
      <c r="D14" s="375">
        <f>D13*B14</f>
        <v>0</v>
      </c>
    </row>
    <row r="15" spans="1:6" ht="29.25" customHeight="1" thickBot="1" x14ac:dyDescent="0.35">
      <c r="A15" s="368"/>
      <c r="B15" s="376"/>
      <c r="C15" s="370">
        <f>C14+C13</f>
        <v>0</v>
      </c>
      <c r="D15" s="371">
        <f>D14+D13</f>
        <v>0</v>
      </c>
    </row>
  </sheetData>
  <mergeCells count="6">
    <mergeCell ref="B1:D1"/>
    <mergeCell ref="B2:D2"/>
    <mergeCell ref="A4:A5"/>
    <mergeCell ref="B4:B5"/>
    <mergeCell ref="C4:C5"/>
    <mergeCell ref="D4:D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54EBB-FF11-468C-8F86-4C5FFEA0AA85}">
  <sheetPr codeName="Sheet3">
    <tabColor rgb="FFFF0000"/>
  </sheetPr>
  <dimension ref="A1:T175"/>
  <sheetViews>
    <sheetView topLeftCell="A6" zoomScale="85" zoomScaleNormal="85" workbookViewId="0">
      <selection activeCell="K16" sqref="K15:K16"/>
    </sheetView>
  </sheetViews>
  <sheetFormatPr defaultColWidth="9.109375" defaultRowHeight="14.4" x14ac:dyDescent="0.3"/>
  <cols>
    <col min="1" max="1" width="8.5546875" customWidth="1"/>
    <col min="2" max="2" width="51.109375" customWidth="1"/>
    <col min="3" max="3" width="10.109375" customWidth="1"/>
    <col min="4" max="4" width="9.33203125" style="548" bestFit="1" customWidth="1"/>
    <col min="5" max="5" width="12.33203125" style="548" customWidth="1"/>
    <col min="6" max="7" width="11.44140625" style="548" bestFit="1" customWidth="1"/>
    <col min="8" max="8" width="9.6640625" style="548" bestFit="1" customWidth="1"/>
    <col min="9" max="9" width="12.33203125" style="548" customWidth="1"/>
    <col min="10" max="10" width="11.6640625" style="548" customWidth="1"/>
    <col min="11" max="11" width="11" style="548" customWidth="1"/>
    <col min="12" max="12" width="14.88671875" style="548" customWidth="1"/>
    <col min="13" max="13" width="16.109375" customWidth="1"/>
    <col min="14" max="14" width="31.44140625" customWidth="1"/>
    <col min="15" max="15" width="14.33203125" customWidth="1"/>
    <col min="17" max="17" width="12" customWidth="1"/>
  </cols>
  <sheetData>
    <row r="1" spans="1:15" s="1" customFormat="1" ht="15.6" x14ac:dyDescent="0.3">
      <c r="A1" s="676" t="s">
        <v>239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  <c r="L1" s="676"/>
    </row>
    <row r="2" spans="1:15" s="1" customFormat="1" ht="15.6" x14ac:dyDescent="0.3">
      <c r="A2" s="676" t="s">
        <v>267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</row>
    <row r="3" spans="1:15" s="1" customFormat="1" x14ac:dyDescent="0.3">
      <c r="A3" s="677"/>
      <c r="B3" s="677"/>
      <c r="C3" s="677"/>
      <c r="D3" s="677"/>
      <c r="E3" s="678"/>
      <c r="F3" s="677"/>
      <c r="G3" s="677"/>
      <c r="H3" s="677"/>
      <c r="I3" s="677"/>
      <c r="J3" s="677"/>
      <c r="K3" s="677"/>
      <c r="L3" s="677"/>
    </row>
    <row r="4" spans="1:15" s="6" customFormat="1" thickBot="1" x14ac:dyDescent="0.35">
      <c r="A4" s="2"/>
      <c r="B4" s="3"/>
      <c r="C4" s="2"/>
      <c r="D4" s="440"/>
      <c r="E4" s="441"/>
      <c r="F4" s="440"/>
      <c r="G4" s="440"/>
      <c r="H4" s="440"/>
      <c r="I4" s="440"/>
      <c r="J4" s="440"/>
      <c r="K4" s="440"/>
      <c r="L4" s="440"/>
    </row>
    <row r="5" spans="1:15" s="6" customFormat="1" thickBot="1" x14ac:dyDescent="0.35">
      <c r="A5" s="7"/>
      <c r="B5" s="7"/>
      <c r="C5" s="7"/>
      <c r="D5" s="442"/>
      <c r="E5" s="443"/>
      <c r="F5" s="440"/>
      <c r="G5" s="440"/>
      <c r="H5" s="710" t="s">
        <v>0</v>
      </c>
      <c r="I5" s="710"/>
      <c r="J5" s="710"/>
      <c r="K5" s="711">
        <f>L171</f>
        <v>0</v>
      </c>
      <c r="L5" s="712"/>
    </row>
    <row r="6" spans="1:15" s="6" customFormat="1" thickBot="1" x14ac:dyDescent="0.35">
      <c r="A6" s="682"/>
      <c r="B6" s="682"/>
      <c r="C6" s="8"/>
      <c r="D6" s="440"/>
      <c r="E6" s="441"/>
      <c r="F6" s="440"/>
      <c r="G6" s="440"/>
      <c r="H6" s="440"/>
      <c r="I6" s="440"/>
      <c r="J6" s="440"/>
      <c r="K6" s="708">
        <f>K5/K8</f>
        <v>0</v>
      </c>
      <c r="L6" s="709"/>
    </row>
    <row r="7" spans="1:15" s="6" customFormat="1" ht="13.8" x14ac:dyDescent="0.3">
      <c r="A7" s="682"/>
      <c r="B7" s="682"/>
      <c r="C7" s="2"/>
      <c r="D7" s="440"/>
      <c r="E7" s="441"/>
      <c r="F7" s="440"/>
      <c r="G7" s="440"/>
      <c r="H7" s="440"/>
      <c r="I7" s="440"/>
      <c r="J7" s="440"/>
      <c r="K7" s="440"/>
      <c r="L7" s="440"/>
    </row>
    <row r="8" spans="1:15" s="6" customFormat="1" thickBot="1" x14ac:dyDescent="0.35">
      <c r="A8" s="2"/>
      <c r="B8" s="3"/>
      <c r="C8" s="2"/>
      <c r="D8" s="440"/>
      <c r="E8" s="441"/>
      <c r="F8" s="440"/>
      <c r="G8" s="440"/>
      <c r="H8" s="440"/>
      <c r="I8" s="440"/>
      <c r="J8" s="440" t="s">
        <v>1</v>
      </c>
      <c r="K8" s="713">
        <v>2.62</v>
      </c>
      <c r="L8" s="713"/>
    </row>
    <row r="9" spans="1:15" s="101" customFormat="1" ht="33.75" customHeight="1" x14ac:dyDescent="0.3">
      <c r="A9" s="693" t="s">
        <v>20</v>
      </c>
      <c r="B9" s="691" t="s">
        <v>21</v>
      </c>
      <c r="C9" s="691" t="s">
        <v>22</v>
      </c>
      <c r="D9" s="716" t="s">
        <v>23</v>
      </c>
      <c r="E9" s="716"/>
      <c r="F9" s="701" t="s">
        <v>4</v>
      </c>
      <c r="G9" s="701"/>
      <c r="H9" s="701" t="s">
        <v>5</v>
      </c>
      <c r="I9" s="701"/>
      <c r="J9" s="701" t="s">
        <v>24</v>
      </c>
      <c r="K9" s="701"/>
      <c r="L9" s="702" t="s">
        <v>6</v>
      </c>
    </row>
    <row r="10" spans="1:15" s="101" customFormat="1" ht="66" customHeight="1" thickBot="1" x14ac:dyDescent="0.35">
      <c r="A10" s="714"/>
      <c r="B10" s="715"/>
      <c r="C10" s="715"/>
      <c r="D10" s="444" t="s">
        <v>25</v>
      </c>
      <c r="E10" s="444" t="s">
        <v>3</v>
      </c>
      <c r="F10" s="444" t="s">
        <v>26</v>
      </c>
      <c r="G10" s="444" t="s">
        <v>6</v>
      </c>
      <c r="H10" s="444" t="s">
        <v>26</v>
      </c>
      <c r="I10" s="444" t="s">
        <v>6</v>
      </c>
      <c r="J10" s="444" t="s">
        <v>26</v>
      </c>
      <c r="K10" s="444" t="s">
        <v>6</v>
      </c>
      <c r="L10" s="703"/>
    </row>
    <row r="11" spans="1:15" s="48" customFormat="1" ht="13.95" customHeight="1" thickBot="1" x14ac:dyDescent="0.35">
      <c r="A11" s="238">
        <v>1</v>
      </c>
      <c r="B11" s="239">
        <v>2</v>
      </c>
      <c r="C11" s="239">
        <v>3</v>
      </c>
      <c r="D11" s="445">
        <v>4</v>
      </c>
      <c r="E11" s="446">
        <v>5</v>
      </c>
      <c r="F11" s="447">
        <v>6</v>
      </c>
      <c r="G11" s="448">
        <v>7</v>
      </c>
      <c r="H11" s="448">
        <v>8</v>
      </c>
      <c r="I11" s="448">
        <v>9</v>
      </c>
      <c r="J11" s="448">
        <v>10</v>
      </c>
      <c r="K11" s="448">
        <v>11</v>
      </c>
      <c r="L11" s="449">
        <v>12</v>
      </c>
    </row>
    <row r="12" spans="1:15" s="184" customFormat="1" ht="40.5" customHeight="1" x14ac:dyDescent="0.3">
      <c r="A12" s="240">
        <v>1</v>
      </c>
      <c r="B12" s="241" t="s">
        <v>393</v>
      </c>
      <c r="C12" s="242" t="s">
        <v>33</v>
      </c>
      <c r="D12" s="469"/>
      <c r="E12" s="423">
        <v>107</v>
      </c>
      <c r="F12" s="453"/>
      <c r="G12" s="453"/>
      <c r="H12" s="453"/>
      <c r="I12" s="470"/>
      <c r="J12" s="471"/>
      <c r="K12" s="471"/>
      <c r="L12" s="472"/>
      <c r="M12" s="183"/>
      <c r="N12" s="185"/>
      <c r="O12" s="183"/>
    </row>
    <row r="13" spans="1:15" s="184" customFormat="1" ht="18" customHeight="1" x14ac:dyDescent="0.3">
      <c r="A13" s="243"/>
      <c r="B13" s="192" t="s">
        <v>8</v>
      </c>
      <c r="C13" s="190" t="s">
        <v>33</v>
      </c>
      <c r="D13" s="456">
        <v>1</v>
      </c>
      <c r="E13" s="457"/>
      <c r="F13" s="458"/>
      <c r="G13" s="458"/>
      <c r="H13" s="426"/>
      <c r="I13" s="459"/>
      <c r="J13" s="473"/>
      <c r="K13" s="474"/>
      <c r="L13" s="461"/>
      <c r="M13" s="183"/>
      <c r="N13" s="183"/>
      <c r="O13" s="183"/>
    </row>
    <row r="14" spans="1:15" s="184" customFormat="1" ht="18" customHeight="1" x14ac:dyDescent="0.3">
      <c r="A14" s="243"/>
      <c r="B14" s="192" t="s">
        <v>12</v>
      </c>
      <c r="C14" s="190"/>
      <c r="D14" s="456"/>
      <c r="E14" s="457"/>
      <c r="F14" s="458"/>
      <c r="G14" s="458"/>
      <c r="H14" s="458"/>
      <c r="I14" s="459"/>
      <c r="J14" s="460"/>
      <c r="K14" s="460"/>
      <c r="L14" s="461"/>
      <c r="M14" s="183"/>
      <c r="N14" s="183"/>
      <c r="O14" s="183"/>
    </row>
    <row r="15" spans="1:15" s="184" customFormat="1" ht="42" thickBot="1" x14ac:dyDescent="0.35">
      <c r="A15" s="244"/>
      <c r="B15" s="245" t="s">
        <v>450</v>
      </c>
      <c r="C15" s="246" t="s">
        <v>13</v>
      </c>
      <c r="D15" s="475">
        <v>3.3</v>
      </c>
      <c r="E15" s="476"/>
      <c r="F15" s="426"/>
      <c r="G15" s="477"/>
      <c r="H15" s="477"/>
      <c r="I15" s="478"/>
      <c r="J15" s="479"/>
      <c r="K15" s="479"/>
      <c r="L15" s="480"/>
      <c r="M15" s="183"/>
      <c r="N15" s="183"/>
      <c r="O15" s="183"/>
    </row>
    <row r="16" spans="1:15" s="69" customFormat="1" ht="36" customHeight="1" x14ac:dyDescent="0.3">
      <c r="A16" s="136">
        <v>2</v>
      </c>
      <c r="B16" s="137" t="s">
        <v>395</v>
      </c>
      <c r="C16" s="134" t="s">
        <v>33</v>
      </c>
      <c r="D16" s="422"/>
      <c r="E16" s="423">
        <v>1475.2</v>
      </c>
      <c r="F16" s="481"/>
      <c r="G16" s="423"/>
      <c r="H16" s="423"/>
      <c r="I16" s="423"/>
      <c r="J16" s="423"/>
      <c r="K16" s="423"/>
      <c r="L16" s="424"/>
    </row>
    <row r="17" spans="1:14" s="69" customFormat="1" ht="15" customHeight="1" x14ac:dyDescent="0.3">
      <c r="A17" s="78"/>
      <c r="B17" s="24" t="s">
        <v>8</v>
      </c>
      <c r="C17" s="79" t="s">
        <v>51</v>
      </c>
      <c r="D17" s="426">
        <v>1</v>
      </c>
      <c r="E17" s="482"/>
      <c r="F17" s="427"/>
      <c r="G17" s="426"/>
      <c r="H17" s="388"/>
      <c r="I17" s="426"/>
      <c r="J17" s="426"/>
      <c r="K17" s="427"/>
      <c r="L17" s="428"/>
    </row>
    <row r="18" spans="1:14" s="69" customFormat="1" ht="13.95" customHeight="1" x14ac:dyDescent="0.3">
      <c r="A18" s="78"/>
      <c r="B18" s="24" t="s">
        <v>52</v>
      </c>
      <c r="C18" s="79" t="s">
        <v>11</v>
      </c>
      <c r="D18" s="426">
        <f>3/100</f>
        <v>0.03</v>
      </c>
      <c r="E18" s="482"/>
      <c r="F18" s="427"/>
      <c r="G18" s="426"/>
      <c r="H18" s="426"/>
      <c r="I18" s="426"/>
      <c r="J18" s="426"/>
      <c r="K18" s="427"/>
      <c r="L18" s="428"/>
      <c r="N18" s="118"/>
    </row>
    <row r="19" spans="1:14" s="69" customFormat="1" ht="13.95" customHeight="1" x14ac:dyDescent="0.3">
      <c r="A19" s="78"/>
      <c r="B19" s="24" t="s">
        <v>12</v>
      </c>
      <c r="C19" s="79"/>
      <c r="D19" s="426"/>
      <c r="E19" s="482"/>
      <c r="F19" s="427"/>
      <c r="G19" s="426"/>
      <c r="H19" s="426"/>
      <c r="I19" s="426"/>
      <c r="J19" s="426"/>
      <c r="K19" s="427"/>
      <c r="L19" s="428"/>
    </row>
    <row r="20" spans="1:14" s="69" customFormat="1" ht="13.95" customHeight="1" x14ac:dyDescent="0.3">
      <c r="A20" s="78"/>
      <c r="B20" s="24" t="s">
        <v>29</v>
      </c>
      <c r="C20" s="79" t="s">
        <v>27</v>
      </c>
      <c r="D20" s="426">
        <f>0.582/100</f>
        <v>5.8199999999999997E-3</v>
      </c>
      <c r="E20" s="482"/>
      <c r="F20" s="427"/>
      <c r="G20" s="427"/>
      <c r="H20" s="426"/>
      <c r="I20" s="426"/>
      <c r="J20" s="426"/>
      <c r="K20" s="427"/>
      <c r="L20" s="428"/>
    </row>
    <row r="21" spans="1:14" s="322" customFormat="1" ht="13.95" customHeight="1" x14ac:dyDescent="0.3">
      <c r="A21" s="646"/>
      <c r="B21" s="55" t="s">
        <v>53</v>
      </c>
      <c r="C21" s="179" t="s">
        <v>33</v>
      </c>
      <c r="D21" s="427">
        <f>6/100</f>
        <v>0.06</v>
      </c>
      <c r="E21" s="647"/>
      <c r="F21" s="427"/>
      <c r="G21" s="427"/>
      <c r="H21" s="427"/>
      <c r="I21" s="427"/>
      <c r="J21" s="427"/>
      <c r="K21" s="427"/>
      <c r="L21" s="428"/>
    </row>
    <row r="22" spans="1:14" s="69" customFormat="1" ht="13.95" customHeight="1" x14ac:dyDescent="0.3">
      <c r="A22" s="78"/>
      <c r="B22" s="24" t="s">
        <v>54</v>
      </c>
      <c r="C22" s="79" t="s">
        <v>7</v>
      </c>
      <c r="D22" s="426">
        <f>20/100</f>
        <v>0.2</v>
      </c>
      <c r="E22" s="482"/>
      <c r="F22" s="427"/>
      <c r="G22" s="427"/>
      <c r="H22" s="426"/>
      <c r="I22" s="426"/>
      <c r="J22" s="426"/>
      <c r="K22" s="427"/>
      <c r="L22" s="428"/>
    </row>
    <row r="23" spans="1:14" s="69" customFormat="1" ht="27.6" customHeight="1" x14ac:dyDescent="0.3">
      <c r="A23" s="78"/>
      <c r="B23" s="24" t="s">
        <v>55</v>
      </c>
      <c r="C23" s="79" t="s">
        <v>13</v>
      </c>
      <c r="D23" s="426">
        <f>10/100</f>
        <v>0.1</v>
      </c>
      <c r="E23" s="482"/>
      <c r="F23" s="427"/>
      <c r="G23" s="427"/>
      <c r="H23" s="426"/>
      <c r="I23" s="426"/>
      <c r="J23" s="426"/>
      <c r="K23" s="427"/>
      <c r="L23" s="428"/>
    </row>
    <row r="24" spans="1:14" s="69" customFormat="1" ht="27.6" customHeight="1" thickBot="1" x14ac:dyDescent="0.35">
      <c r="A24" s="140"/>
      <c r="B24" s="193" t="s">
        <v>334</v>
      </c>
      <c r="C24" s="141" t="s">
        <v>13</v>
      </c>
      <c r="D24" s="419">
        <v>15</v>
      </c>
      <c r="E24" s="483"/>
      <c r="F24" s="430"/>
      <c r="G24" s="430"/>
      <c r="H24" s="419"/>
      <c r="I24" s="419"/>
      <c r="J24" s="419"/>
      <c r="K24" s="430"/>
      <c r="L24" s="431"/>
    </row>
    <row r="25" spans="1:14" ht="34.5" customHeight="1" x14ac:dyDescent="0.3">
      <c r="A25" s="136">
        <v>3</v>
      </c>
      <c r="B25" s="137" t="s">
        <v>391</v>
      </c>
      <c r="C25" s="134" t="s">
        <v>33</v>
      </c>
      <c r="D25" s="422"/>
      <c r="E25" s="423">
        <f>E16</f>
        <v>1475.2</v>
      </c>
      <c r="F25" s="481"/>
      <c r="G25" s="423"/>
      <c r="H25" s="423"/>
      <c r="I25" s="423"/>
      <c r="J25" s="423"/>
      <c r="K25" s="423"/>
      <c r="L25" s="424"/>
    </row>
    <row r="26" spans="1:14" ht="15" x14ac:dyDescent="0.3">
      <c r="A26" s="78"/>
      <c r="B26" s="24" t="s">
        <v>8</v>
      </c>
      <c r="C26" s="79" t="s">
        <v>51</v>
      </c>
      <c r="D26" s="426">
        <v>1</v>
      </c>
      <c r="E26" s="482"/>
      <c r="F26" s="427"/>
      <c r="G26" s="426"/>
      <c r="H26" s="389"/>
      <c r="I26" s="426"/>
      <c r="J26" s="426"/>
      <c r="K26" s="427"/>
      <c r="L26" s="428"/>
    </row>
    <row r="27" spans="1:14" x14ac:dyDescent="0.3">
      <c r="A27" s="78"/>
      <c r="B27" s="24" t="s">
        <v>237</v>
      </c>
      <c r="C27" s="79" t="s">
        <v>11</v>
      </c>
      <c r="D27" s="426">
        <v>0.01</v>
      </c>
      <c r="E27" s="482"/>
      <c r="F27" s="427"/>
      <c r="G27" s="426"/>
      <c r="H27" s="426"/>
      <c r="I27" s="426"/>
      <c r="J27" s="426"/>
      <c r="K27" s="427"/>
      <c r="L27" s="428"/>
    </row>
    <row r="28" spans="1:14" x14ac:dyDescent="0.3">
      <c r="A28" s="78"/>
      <c r="B28" s="24" t="s">
        <v>12</v>
      </c>
      <c r="C28" s="79"/>
      <c r="D28" s="426"/>
      <c r="E28" s="482"/>
      <c r="F28" s="427"/>
      <c r="G28" s="426"/>
      <c r="H28" s="426"/>
      <c r="I28" s="426"/>
      <c r="J28" s="426"/>
      <c r="K28" s="427"/>
      <c r="L28" s="428"/>
    </row>
    <row r="29" spans="1:14" x14ac:dyDescent="0.3">
      <c r="A29" s="78"/>
      <c r="B29" s="24" t="s">
        <v>392</v>
      </c>
      <c r="C29" s="79" t="s">
        <v>13</v>
      </c>
      <c r="D29" s="426">
        <v>0.63</v>
      </c>
      <c r="E29" s="482"/>
      <c r="F29" s="427"/>
      <c r="G29" s="427"/>
      <c r="H29" s="426"/>
      <c r="I29" s="426"/>
      <c r="J29" s="426"/>
      <c r="K29" s="427"/>
      <c r="L29" s="428"/>
    </row>
    <row r="30" spans="1:14" x14ac:dyDescent="0.3">
      <c r="A30" s="78"/>
      <c r="B30" s="24" t="s">
        <v>238</v>
      </c>
      <c r="C30" s="79" t="s">
        <v>13</v>
      </c>
      <c r="D30" s="426">
        <v>0.92</v>
      </c>
      <c r="E30" s="482"/>
      <c r="F30" s="427"/>
      <c r="G30" s="427"/>
      <c r="H30" s="426"/>
      <c r="I30" s="426"/>
      <c r="J30" s="426"/>
      <c r="K30" s="427"/>
      <c r="L30" s="428"/>
    </row>
    <row r="31" spans="1:14" ht="15" thickBot="1" x14ac:dyDescent="0.35">
      <c r="A31" s="140"/>
      <c r="B31" s="98" t="s">
        <v>230</v>
      </c>
      <c r="C31" s="141" t="s">
        <v>15</v>
      </c>
      <c r="D31" s="419">
        <v>1.7999999999999999E-2</v>
      </c>
      <c r="E31" s="483"/>
      <c r="F31" s="430"/>
      <c r="G31" s="430"/>
      <c r="H31" s="419"/>
      <c r="I31" s="419"/>
      <c r="J31" s="419"/>
      <c r="K31" s="430"/>
      <c r="L31" s="431"/>
    </row>
    <row r="32" spans="1:14" s="69" customFormat="1" ht="32.25" customHeight="1" x14ac:dyDescent="0.3">
      <c r="A32" s="300">
        <v>4</v>
      </c>
      <c r="B32" s="301" t="s">
        <v>479</v>
      </c>
      <c r="C32" s="302" t="s">
        <v>229</v>
      </c>
      <c r="D32" s="488"/>
      <c r="E32" s="489">
        <v>2110.5</v>
      </c>
      <c r="F32" s="490"/>
      <c r="G32" s="491"/>
      <c r="H32" s="491"/>
      <c r="I32" s="491"/>
      <c r="J32" s="491"/>
      <c r="K32" s="491"/>
      <c r="L32" s="492"/>
    </row>
    <row r="33" spans="1:14" s="69" customFormat="1" ht="12.75" customHeight="1" x14ac:dyDescent="0.3">
      <c r="A33" s="303"/>
      <c r="B33" s="24" t="s">
        <v>8</v>
      </c>
      <c r="C33" s="79" t="s">
        <v>229</v>
      </c>
      <c r="D33" s="425">
        <v>1</v>
      </c>
      <c r="E33" s="493"/>
      <c r="F33" s="493"/>
      <c r="G33" s="494"/>
      <c r="H33" s="493"/>
      <c r="I33" s="493"/>
      <c r="J33" s="493"/>
      <c r="K33" s="493"/>
      <c r="L33" s="495"/>
    </row>
    <row r="34" spans="1:14" s="69" customFormat="1" ht="12.75" customHeight="1" x14ac:dyDescent="0.3">
      <c r="A34" s="303"/>
      <c r="B34" s="24" t="s">
        <v>311</v>
      </c>
      <c r="C34" s="79" t="s">
        <v>229</v>
      </c>
      <c r="D34" s="425">
        <v>2.1</v>
      </c>
      <c r="E34" s="493"/>
      <c r="F34" s="426"/>
      <c r="G34" s="494"/>
      <c r="H34" s="496"/>
      <c r="I34" s="493"/>
      <c r="J34" s="493"/>
      <c r="K34" s="493"/>
      <c r="L34" s="495"/>
    </row>
    <row r="35" spans="1:14" s="69" customFormat="1" ht="12.75" customHeight="1" x14ac:dyDescent="0.3">
      <c r="A35" s="303"/>
      <c r="B35" s="289" t="s">
        <v>434</v>
      </c>
      <c r="C35" s="306" t="s">
        <v>229</v>
      </c>
      <c r="D35" s="497">
        <v>1.05</v>
      </c>
      <c r="E35" s="498"/>
      <c r="F35" s="499"/>
      <c r="G35" s="500"/>
      <c r="H35" s="498"/>
      <c r="I35" s="498"/>
      <c r="J35" s="498"/>
      <c r="K35" s="498"/>
      <c r="L35" s="501"/>
    </row>
    <row r="36" spans="1:14" s="69" customFormat="1" ht="12.75" customHeight="1" x14ac:dyDescent="0.3">
      <c r="A36" s="303"/>
      <c r="B36" s="24" t="s">
        <v>451</v>
      </c>
      <c r="C36" s="79" t="s">
        <v>7</v>
      </c>
      <c r="D36" s="425">
        <v>2</v>
      </c>
      <c r="E36" s="493"/>
      <c r="F36" s="426"/>
      <c r="G36" s="494"/>
      <c r="H36" s="493"/>
      <c r="I36" s="493"/>
      <c r="J36" s="493"/>
      <c r="K36" s="493"/>
      <c r="L36" s="495"/>
    </row>
    <row r="37" spans="1:14" s="69" customFormat="1" ht="12.75" customHeight="1" x14ac:dyDescent="0.3">
      <c r="A37" s="303"/>
      <c r="B37" s="24" t="s">
        <v>452</v>
      </c>
      <c r="C37" s="79" t="s">
        <v>7</v>
      </c>
      <c r="D37" s="425">
        <v>0.7</v>
      </c>
      <c r="E37" s="493"/>
      <c r="F37" s="426"/>
      <c r="G37" s="494"/>
      <c r="H37" s="493"/>
      <c r="I37" s="493"/>
      <c r="J37" s="493"/>
      <c r="K37" s="493"/>
      <c r="L37" s="495"/>
    </row>
    <row r="38" spans="1:14" s="69" customFormat="1" ht="12.75" customHeight="1" x14ac:dyDescent="0.3">
      <c r="A38" s="303"/>
      <c r="B38" s="24" t="s">
        <v>309</v>
      </c>
      <c r="C38" s="79" t="s">
        <v>9</v>
      </c>
      <c r="D38" s="425">
        <v>1.6</v>
      </c>
      <c r="E38" s="493"/>
      <c r="F38" s="426"/>
      <c r="G38" s="494"/>
      <c r="H38" s="493"/>
      <c r="I38" s="493"/>
      <c r="J38" s="493"/>
      <c r="K38" s="493"/>
      <c r="L38" s="495"/>
    </row>
    <row r="39" spans="1:14" s="69" customFormat="1" ht="12.75" customHeight="1" x14ac:dyDescent="0.3">
      <c r="A39" s="303"/>
      <c r="B39" s="24" t="s">
        <v>80</v>
      </c>
      <c r="C39" s="79" t="s">
        <v>9</v>
      </c>
      <c r="D39" s="425">
        <v>1.5</v>
      </c>
      <c r="E39" s="493"/>
      <c r="F39" s="426"/>
      <c r="G39" s="494"/>
      <c r="H39" s="493"/>
      <c r="I39" s="493"/>
      <c r="J39" s="493"/>
      <c r="K39" s="493"/>
      <c r="L39" s="495"/>
    </row>
    <row r="40" spans="1:14" s="69" customFormat="1" ht="12.75" customHeight="1" x14ac:dyDescent="0.3">
      <c r="A40" s="303"/>
      <c r="B40" s="24" t="s">
        <v>81</v>
      </c>
      <c r="C40" s="79" t="s">
        <v>9</v>
      </c>
      <c r="D40" s="425">
        <v>10</v>
      </c>
      <c r="E40" s="493"/>
      <c r="F40" s="426"/>
      <c r="G40" s="494"/>
      <c r="H40" s="493"/>
      <c r="I40" s="493"/>
      <c r="J40" s="493"/>
      <c r="K40" s="493"/>
      <c r="L40" s="495"/>
    </row>
    <row r="41" spans="1:14" s="69" customFormat="1" ht="12.75" customHeight="1" x14ac:dyDescent="0.3">
      <c r="A41" s="303"/>
      <c r="B41" s="24" t="s">
        <v>82</v>
      </c>
      <c r="C41" s="79" t="s">
        <v>9</v>
      </c>
      <c r="D41" s="425">
        <v>15</v>
      </c>
      <c r="E41" s="493"/>
      <c r="F41" s="426"/>
      <c r="G41" s="494"/>
      <c r="H41" s="493"/>
      <c r="I41" s="493"/>
      <c r="J41" s="493"/>
      <c r="K41" s="493"/>
      <c r="L41" s="495"/>
    </row>
    <row r="42" spans="1:14" s="69" customFormat="1" ht="30.9" customHeight="1" thickBot="1" x14ac:dyDescent="0.35">
      <c r="A42" s="303"/>
      <c r="B42" s="24" t="s">
        <v>310</v>
      </c>
      <c r="C42" s="79" t="s">
        <v>7</v>
      </c>
      <c r="D42" s="425">
        <v>0.5</v>
      </c>
      <c r="E42" s="493"/>
      <c r="F42" s="426"/>
      <c r="G42" s="494"/>
      <c r="H42" s="493"/>
      <c r="I42" s="493"/>
      <c r="J42" s="493"/>
      <c r="K42" s="493"/>
      <c r="L42" s="495"/>
    </row>
    <row r="43" spans="1:14" s="69" customFormat="1" ht="39" customHeight="1" x14ac:dyDescent="0.3">
      <c r="A43" s="136">
        <v>5</v>
      </c>
      <c r="B43" s="137" t="s">
        <v>394</v>
      </c>
      <c r="C43" s="134" t="s">
        <v>33</v>
      </c>
      <c r="D43" s="422"/>
      <c r="E43" s="423">
        <v>3852.1</v>
      </c>
      <c r="F43" s="481"/>
      <c r="G43" s="423"/>
      <c r="H43" s="423"/>
      <c r="I43" s="423"/>
      <c r="J43" s="423"/>
      <c r="K43" s="423"/>
      <c r="L43" s="424"/>
    </row>
    <row r="44" spans="1:14" s="69" customFormat="1" ht="15" customHeight="1" x14ac:dyDescent="0.3">
      <c r="A44" s="78"/>
      <c r="B44" s="24" t="s">
        <v>8</v>
      </c>
      <c r="C44" s="79" t="s">
        <v>51</v>
      </c>
      <c r="D44" s="426">
        <v>1</v>
      </c>
      <c r="E44" s="482"/>
      <c r="F44" s="427"/>
      <c r="G44" s="426"/>
      <c r="H44" s="388"/>
      <c r="I44" s="426"/>
      <c r="J44" s="426"/>
      <c r="K44" s="427"/>
      <c r="L44" s="428"/>
    </row>
    <row r="45" spans="1:14" s="69" customFormat="1" ht="13.95" customHeight="1" x14ac:dyDescent="0.3">
      <c r="A45" s="78"/>
      <c r="B45" s="24" t="s">
        <v>52</v>
      </c>
      <c r="C45" s="79" t="s">
        <v>11</v>
      </c>
      <c r="D45" s="426">
        <f>3/100</f>
        <v>0.03</v>
      </c>
      <c r="E45" s="482"/>
      <c r="F45" s="427"/>
      <c r="G45" s="426"/>
      <c r="H45" s="426"/>
      <c r="I45" s="426"/>
      <c r="J45" s="426"/>
      <c r="K45" s="427"/>
      <c r="L45" s="428"/>
      <c r="N45" s="118"/>
    </row>
    <row r="46" spans="1:14" s="69" customFormat="1" ht="13.95" customHeight="1" x14ac:dyDescent="0.3">
      <c r="A46" s="78"/>
      <c r="B46" s="24" t="s">
        <v>12</v>
      </c>
      <c r="C46" s="79"/>
      <c r="D46" s="426"/>
      <c r="E46" s="482"/>
      <c r="F46" s="427"/>
      <c r="G46" s="426"/>
      <c r="H46" s="426"/>
      <c r="I46" s="426"/>
      <c r="J46" s="426"/>
      <c r="K46" s="427"/>
      <c r="L46" s="428"/>
    </row>
    <row r="47" spans="1:14" s="69" customFormat="1" ht="13.95" customHeight="1" x14ac:dyDescent="0.3">
      <c r="A47" s="78"/>
      <c r="B47" s="24" t="s">
        <v>29</v>
      </c>
      <c r="C47" s="79" t="s">
        <v>27</v>
      </c>
      <c r="D47" s="426">
        <f>0.582/100</f>
        <v>5.8199999999999997E-3</v>
      </c>
      <c r="E47" s="482"/>
      <c r="F47" s="427"/>
      <c r="G47" s="427"/>
      <c r="H47" s="426"/>
      <c r="I47" s="426"/>
      <c r="J47" s="426"/>
      <c r="K47" s="427"/>
      <c r="L47" s="428"/>
    </row>
    <row r="48" spans="1:14" s="322" customFormat="1" ht="13.95" customHeight="1" x14ac:dyDescent="0.3">
      <c r="A48" s="646"/>
      <c r="B48" s="55" t="s">
        <v>53</v>
      </c>
      <c r="C48" s="179" t="s">
        <v>33</v>
      </c>
      <c r="D48" s="427">
        <f>6/100</f>
        <v>0.06</v>
      </c>
      <c r="E48" s="647"/>
      <c r="F48" s="427"/>
      <c r="G48" s="427"/>
      <c r="H48" s="427"/>
      <c r="I48" s="427"/>
      <c r="J48" s="427"/>
      <c r="K48" s="427"/>
      <c r="L48" s="428"/>
    </row>
    <row r="49" spans="1:12" s="69" customFormat="1" ht="13.95" customHeight="1" x14ac:dyDescent="0.3">
      <c r="A49" s="78"/>
      <c r="B49" s="24" t="s">
        <v>54</v>
      </c>
      <c r="C49" s="79" t="s">
        <v>7</v>
      </c>
      <c r="D49" s="426">
        <f>20/100</f>
        <v>0.2</v>
      </c>
      <c r="E49" s="482"/>
      <c r="F49" s="427"/>
      <c r="G49" s="427"/>
      <c r="H49" s="426"/>
      <c r="I49" s="426"/>
      <c r="J49" s="426"/>
      <c r="K49" s="427"/>
      <c r="L49" s="428"/>
    </row>
    <row r="50" spans="1:12" s="69" customFormat="1" ht="27.6" customHeight="1" x14ac:dyDescent="0.3">
      <c r="A50" s="78"/>
      <c r="B50" s="24" t="s">
        <v>55</v>
      </c>
      <c r="C50" s="79" t="s">
        <v>13</v>
      </c>
      <c r="D50" s="426">
        <f>10/100</f>
        <v>0.1</v>
      </c>
      <c r="E50" s="482"/>
      <c r="F50" s="427"/>
      <c r="G50" s="427"/>
      <c r="H50" s="426"/>
      <c r="I50" s="426"/>
      <c r="J50" s="426"/>
      <c r="K50" s="427"/>
      <c r="L50" s="428"/>
    </row>
    <row r="51" spans="1:12" s="69" customFormat="1" ht="27.6" customHeight="1" thickBot="1" x14ac:dyDescent="0.35">
      <c r="A51" s="140"/>
      <c r="B51" s="193" t="s">
        <v>334</v>
      </c>
      <c r="C51" s="141" t="s">
        <v>13</v>
      </c>
      <c r="D51" s="419">
        <v>15</v>
      </c>
      <c r="E51" s="483"/>
      <c r="F51" s="430"/>
      <c r="G51" s="430"/>
      <c r="H51" s="419"/>
      <c r="I51" s="419"/>
      <c r="J51" s="419"/>
      <c r="K51" s="430"/>
      <c r="L51" s="431"/>
    </row>
    <row r="52" spans="1:12" s="69" customFormat="1" ht="42.75" customHeight="1" x14ac:dyDescent="0.3">
      <c r="A52" s="136">
        <v>6</v>
      </c>
      <c r="B52" s="137" t="s">
        <v>453</v>
      </c>
      <c r="C52" s="134" t="s">
        <v>33</v>
      </c>
      <c r="D52" s="422"/>
      <c r="E52" s="423">
        <v>18.399999999999999</v>
      </c>
      <c r="F52" s="502"/>
      <c r="G52" s="423"/>
      <c r="H52" s="423"/>
      <c r="I52" s="423"/>
      <c r="J52" s="423"/>
      <c r="K52" s="423"/>
      <c r="L52" s="424"/>
    </row>
    <row r="53" spans="1:12" s="69" customFormat="1" ht="12.75" customHeight="1" x14ac:dyDescent="0.3">
      <c r="A53" s="78"/>
      <c r="B53" s="24" t="s">
        <v>8</v>
      </c>
      <c r="C53" s="79" t="s">
        <v>33</v>
      </c>
      <c r="D53" s="425">
        <v>1</v>
      </c>
      <c r="E53" s="426"/>
      <c r="F53" s="426"/>
      <c r="G53" s="427"/>
      <c r="H53" s="493"/>
      <c r="I53" s="426"/>
      <c r="J53" s="426"/>
      <c r="K53" s="426"/>
      <c r="L53" s="428"/>
    </row>
    <row r="54" spans="1:12" s="69" customFormat="1" ht="12.75" customHeight="1" x14ac:dyDescent="0.3">
      <c r="A54" s="78"/>
      <c r="B54" s="24" t="s">
        <v>12</v>
      </c>
      <c r="C54" s="79"/>
      <c r="D54" s="425"/>
      <c r="E54" s="426"/>
      <c r="F54" s="426"/>
      <c r="G54" s="427"/>
      <c r="H54" s="426"/>
      <c r="I54" s="426"/>
      <c r="J54" s="426"/>
      <c r="K54" s="426"/>
      <c r="L54" s="428"/>
    </row>
    <row r="55" spans="1:12" s="69" customFormat="1" ht="12.6" customHeight="1" x14ac:dyDescent="0.3">
      <c r="A55" s="78"/>
      <c r="B55" s="24" t="s">
        <v>265</v>
      </c>
      <c r="C55" s="79" t="s">
        <v>33</v>
      </c>
      <c r="D55" s="425">
        <v>2.1</v>
      </c>
      <c r="E55" s="426"/>
      <c r="F55" s="426"/>
      <c r="G55" s="427"/>
      <c r="H55" s="426"/>
      <c r="I55" s="426"/>
      <c r="J55" s="426"/>
      <c r="K55" s="426"/>
      <c r="L55" s="428"/>
    </row>
    <row r="56" spans="1:12" s="69" customFormat="1" ht="12.75" customHeight="1" x14ac:dyDescent="0.3">
      <c r="A56" s="78"/>
      <c r="B56" s="24" t="s">
        <v>438</v>
      </c>
      <c r="C56" s="79" t="s">
        <v>33</v>
      </c>
      <c r="D56" s="425">
        <v>1.05</v>
      </c>
      <c r="E56" s="426"/>
      <c r="F56" s="503"/>
      <c r="G56" s="427"/>
      <c r="H56" s="426"/>
      <c r="I56" s="426"/>
      <c r="J56" s="426"/>
      <c r="K56" s="426"/>
      <c r="L56" s="428"/>
    </row>
    <row r="57" spans="1:12" s="69" customFormat="1" ht="12.75" customHeight="1" x14ac:dyDescent="0.3">
      <c r="A57" s="78"/>
      <c r="B57" s="24" t="s">
        <v>367</v>
      </c>
      <c r="C57" s="79" t="s">
        <v>7</v>
      </c>
      <c r="D57" s="425">
        <v>2</v>
      </c>
      <c r="E57" s="426"/>
      <c r="F57" s="503"/>
      <c r="G57" s="427"/>
      <c r="H57" s="426"/>
      <c r="I57" s="426"/>
      <c r="J57" s="426"/>
      <c r="K57" s="426"/>
      <c r="L57" s="428"/>
    </row>
    <row r="58" spans="1:12" s="69" customFormat="1" ht="12.75" customHeight="1" x14ac:dyDescent="0.3">
      <c r="A58" s="78"/>
      <c r="B58" s="24" t="s">
        <v>466</v>
      </c>
      <c r="C58" s="79" t="s">
        <v>7</v>
      </c>
      <c r="D58" s="425">
        <v>1.3</v>
      </c>
      <c r="E58" s="426"/>
      <c r="F58" s="503"/>
      <c r="G58" s="427"/>
      <c r="H58" s="426"/>
      <c r="I58" s="426"/>
      <c r="J58" s="426"/>
      <c r="K58" s="426"/>
      <c r="L58" s="428"/>
    </row>
    <row r="59" spans="1:12" s="69" customFormat="1" ht="12.75" customHeight="1" x14ac:dyDescent="0.3">
      <c r="A59" s="78"/>
      <c r="B59" s="24" t="s">
        <v>79</v>
      </c>
      <c r="C59" s="79" t="s">
        <v>9</v>
      </c>
      <c r="D59" s="425">
        <v>2.4</v>
      </c>
      <c r="E59" s="426"/>
      <c r="F59" s="503"/>
      <c r="G59" s="427"/>
      <c r="H59" s="426"/>
      <c r="I59" s="426"/>
      <c r="J59" s="426"/>
      <c r="K59" s="426"/>
      <c r="L59" s="428"/>
    </row>
    <row r="60" spans="1:12" s="69" customFormat="1" ht="12.75" customHeight="1" x14ac:dyDescent="0.3">
      <c r="A60" s="78"/>
      <c r="B60" s="24" t="s">
        <v>80</v>
      </c>
      <c r="C60" s="79" t="s">
        <v>9</v>
      </c>
      <c r="D60" s="425">
        <v>1.5</v>
      </c>
      <c r="E60" s="426"/>
      <c r="F60" s="503"/>
      <c r="G60" s="427"/>
      <c r="H60" s="426"/>
      <c r="I60" s="426"/>
      <c r="J60" s="426"/>
      <c r="K60" s="426"/>
      <c r="L60" s="428"/>
    </row>
    <row r="61" spans="1:12" s="69" customFormat="1" ht="12.75" customHeight="1" x14ac:dyDescent="0.3">
      <c r="A61" s="78"/>
      <c r="B61" s="24" t="s">
        <v>81</v>
      </c>
      <c r="C61" s="79" t="s">
        <v>9</v>
      </c>
      <c r="D61" s="425">
        <v>7</v>
      </c>
      <c r="E61" s="426"/>
      <c r="F61" s="503"/>
      <c r="G61" s="427"/>
      <c r="H61" s="426"/>
      <c r="I61" s="426"/>
      <c r="J61" s="426"/>
      <c r="K61" s="426"/>
      <c r="L61" s="428"/>
    </row>
    <row r="62" spans="1:12" s="69" customFormat="1" ht="12.75" customHeight="1" x14ac:dyDescent="0.3">
      <c r="A62" s="78"/>
      <c r="B62" s="24" t="s">
        <v>82</v>
      </c>
      <c r="C62" s="79" t="s">
        <v>9</v>
      </c>
      <c r="D62" s="425">
        <v>15</v>
      </c>
      <c r="E62" s="426"/>
      <c r="F62" s="503"/>
      <c r="G62" s="427"/>
      <c r="H62" s="426"/>
      <c r="I62" s="426"/>
      <c r="J62" s="426"/>
      <c r="K62" s="426"/>
      <c r="L62" s="428"/>
    </row>
    <row r="63" spans="1:12" s="69" customFormat="1" ht="12.75" customHeight="1" x14ac:dyDescent="0.3">
      <c r="A63" s="78"/>
      <c r="B63" s="24" t="s">
        <v>83</v>
      </c>
      <c r="C63" s="79" t="s">
        <v>7</v>
      </c>
      <c r="D63" s="425">
        <v>0.5</v>
      </c>
      <c r="E63" s="426"/>
      <c r="F63" s="503"/>
      <c r="G63" s="427"/>
      <c r="H63" s="426"/>
      <c r="I63" s="426"/>
      <c r="J63" s="426"/>
      <c r="K63" s="426"/>
      <c r="L63" s="428"/>
    </row>
    <row r="64" spans="1:12" s="69" customFormat="1" ht="12.6" customHeight="1" thickBot="1" x14ac:dyDescent="0.35">
      <c r="A64" s="140"/>
      <c r="B64" s="98" t="s">
        <v>84</v>
      </c>
      <c r="C64" s="141" t="s">
        <v>7</v>
      </c>
      <c r="D64" s="429">
        <v>0.2</v>
      </c>
      <c r="E64" s="419"/>
      <c r="F64" s="504"/>
      <c r="G64" s="430"/>
      <c r="H64" s="419"/>
      <c r="I64" s="419"/>
      <c r="J64" s="419"/>
      <c r="K64" s="419"/>
      <c r="L64" s="431"/>
    </row>
    <row r="65" spans="1:12" s="69" customFormat="1" ht="50.25" customHeight="1" x14ac:dyDescent="0.3">
      <c r="A65" s="283">
        <v>7</v>
      </c>
      <c r="B65" s="145" t="s">
        <v>454</v>
      </c>
      <c r="C65" s="146" t="s">
        <v>33</v>
      </c>
      <c r="D65" s="505"/>
      <c r="E65" s="506">
        <v>8.9</v>
      </c>
      <c r="F65" s="499"/>
      <c r="G65" s="506"/>
      <c r="H65" s="506"/>
      <c r="I65" s="506"/>
      <c r="J65" s="506"/>
      <c r="K65" s="506"/>
      <c r="L65" s="507"/>
    </row>
    <row r="66" spans="1:12" s="69" customFormat="1" ht="12.75" customHeight="1" x14ac:dyDescent="0.3">
      <c r="A66" s="78"/>
      <c r="B66" s="24" t="s">
        <v>8</v>
      </c>
      <c r="C66" s="79" t="s">
        <v>33</v>
      </c>
      <c r="D66" s="425">
        <v>1</v>
      </c>
      <c r="E66" s="426"/>
      <c r="F66" s="503"/>
      <c r="G66" s="427"/>
      <c r="H66" s="493"/>
      <c r="I66" s="426"/>
      <c r="J66" s="426"/>
      <c r="K66" s="426"/>
      <c r="L66" s="428"/>
    </row>
    <row r="67" spans="1:12" s="69" customFormat="1" ht="12.75" customHeight="1" x14ac:dyDescent="0.3">
      <c r="A67" s="78"/>
      <c r="B67" s="24" t="s">
        <v>12</v>
      </c>
      <c r="C67" s="79"/>
      <c r="D67" s="425"/>
      <c r="E67" s="426"/>
      <c r="F67" s="503"/>
      <c r="G67" s="427"/>
      <c r="H67" s="426"/>
      <c r="I67" s="426"/>
      <c r="J67" s="426"/>
      <c r="K67" s="426"/>
      <c r="L67" s="428"/>
    </row>
    <row r="68" spans="1:12" s="69" customFormat="1" ht="12.6" customHeight="1" x14ac:dyDescent="0.3">
      <c r="A68" s="78"/>
      <c r="B68" s="24" t="s">
        <v>150</v>
      </c>
      <c r="C68" s="79" t="s">
        <v>33</v>
      </c>
      <c r="D68" s="425">
        <v>2.1</v>
      </c>
      <c r="E68" s="426"/>
      <c r="F68" s="503"/>
      <c r="G68" s="427"/>
      <c r="H68" s="426"/>
      <c r="I68" s="426"/>
      <c r="J68" s="426"/>
      <c r="K68" s="426"/>
      <c r="L68" s="428"/>
    </row>
    <row r="69" spans="1:12" s="69" customFormat="1" ht="12.75" customHeight="1" x14ac:dyDescent="0.3">
      <c r="A69" s="78"/>
      <c r="B69" s="24" t="s">
        <v>438</v>
      </c>
      <c r="C69" s="79" t="s">
        <v>33</v>
      </c>
      <c r="D69" s="425">
        <v>1.05</v>
      </c>
      <c r="E69" s="426"/>
      <c r="F69" s="503"/>
      <c r="G69" s="427"/>
      <c r="H69" s="426"/>
      <c r="I69" s="426"/>
      <c r="J69" s="426"/>
      <c r="K69" s="426"/>
      <c r="L69" s="428"/>
    </row>
    <row r="70" spans="1:12" s="69" customFormat="1" ht="12.75" customHeight="1" x14ac:dyDescent="0.3">
      <c r="A70" s="78"/>
      <c r="B70" s="24" t="s">
        <v>463</v>
      </c>
      <c r="C70" s="79" t="s">
        <v>7</v>
      </c>
      <c r="D70" s="425">
        <v>2</v>
      </c>
      <c r="E70" s="426"/>
      <c r="F70" s="503"/>
      <c r="G70" s="427"/>
      <c r="H70" s="426"/>
      <c r="I70" s="426"/>
      <c r="J70" s="426"/>
      <c r="K70" s="426"/>
      <c r="L70" s="428"/>
    </row>
    <row r="71" spans="1:12" s="69" customFormat="1" ht="12.75" customHeight="1" x14ac:dyDescent="0.3">
      <c r="A71" s="78"/>
      <c r="B71" s="24" t="s">
        <v>464</v>
      </c>
      <c r="C71" s="79" t="s">
        <v>7</v>
      </c>
      <c r="D71" s="425">
        <v>1.3</v>
      </c>
      <c r="E71" s="426"/>
      <c r="F71" s="503"/>
      <c r="G71" s="427"/>
      <c r="H71" s="426"/>
      <c r="I71" s="426"/>
      <c r="J71" s="426"/>
      <c r="K71" s="426"/>
      <c r="L71" s="428"/>
    </row>
    <row r="72" spans="1:12" s="69" customFormat="1" ht="12.75" customHeight="1" x14ac:dyDescent="0.3">
      <c r="A72" s="78"/>
      <c r="B72" s="24" t="s">
        <v>79</v>
      </c>
      <c r="C72" s="79" t="s">
        <v>9</v>
      </c>
      <c r="D72" s="425">
        <v>2.4</v>
      </c>
      <c r="E72" s="426"/>
      <c r="F72" s="503"/>
      <c r="G72" s="427"/>
      <c r="H72" s="426"/>
      <c r="I72" s="426"/>
      <c r="J72" s="426"/>
      <c r="K72" s="426"/>
      <c r="L72" s="428"/>
    </row>
    <row r="73" spans="1:12" s="69" customFormat="1" ht="12.75" customHeight="1" x14ac:dyDescent="0.3">
      <c r="A73" s="78"/>
      <c r="B73" s="24" t="s">
        <v>80</v>
      </c>
      <c r="C73" s="79" t="s">
        <v>9</v>
      </c>
      <c r="D73" s="425">
        <v>1.5</v>
      </c>
      <c r="E73" s="426"/>
      <c r="F73" s="426"/>
      <c r="G73" s="427"/>
      <c r="H73" s="426"/>
      <c r="I73" s="426"/>
      <c r="J73" s="426"/>
      <c r="K73" s="426"/>
      <c r="L73" s="428"/>
    </row>
    <row r="74" spans="1:12" s="69" customFormat="1" ht="12.75" customHeight="1" x14ac:dyDescent="0.3">
      <c r="A74" s="78"/>
      <c r="B74" s="24" t="s">
        <v>81</v>
      </c>
      <c r="C74" s="79" t="s">
        <v>9</v>
      </c>
      <c r="D74" s="425">
        <v>7</v>
      </c>
      <c r="E74" s="426"/>
      <c r="F74" s="426"/>
      <c r="G74" s="427"/>
      <c r="H74" s="426"/>
      <c r="I74" s="426"/>
      <c r="J74" s="426"/>
      <c r="K74" s="426"/>
      <c r="L74" s="428"/>
    </row>
    <row r="75" spans="1:12" s="69" customFormat="1" ht="12.75" customHeight="1" x14ac:dyDescent="0.3">
      <c r="A75" s="78"/>
      <c r="B75" s="24" t="s">
        <v>82</v>
      </c>
      <c r="C75" s="79" t="s">
        <v>9</v>
      </c>
      <c r="D75" s="425">
        <v>15</v>
      </c>
      <c r="E75" s="426"/>
      <c r="F75" s="426"/>
      <c r="G75" s="427"/>
      <c r="H75" s="426"/>
      <c r="I75" s="426"/>
      <c r="J75" s="426"/>
      <c r="K75" s="426"/>
      <c r="L75" s="428"/>
    </row>
    <row r="76" spans="1:12" s="69" customFormat="1" ht="12.75" customHeight="1" x14ac:dyDescent="0.3">
      <c r="A76" s="78"/>
      <c r="B76" s="24" t="s">
        <v>83</v>
      </c>
      <c r="C76" s="79" t="s">
        <v>7</v>
      </c>
      <c r="D76" s="425">
        <v>0.5</v>
      </c>
      <c r="E76" s="426"/>
      <c r="F76" s="426"/>
      <c r="G76" s="427"/>
      <c r="H76" s="426"/>
      <c r="I76" s="426"/>
      <c r="J76" s="426"/>
      <c r="K76" s="426"/>
      <c r="L76" s="428"/>
    </row>
    <row r="77" spans="1:12" s="69" customFormat="1" thickBot="1" x14ac:dyDescent="0.35">
      <c r="A77" s="149"/>
      <c r="B77" s="150" t="s">
        <v>84</v>
      </c>
      <c r="C77" s="151" t="s">
        <v>7</v>
      </c>
      <c r="D77" s="463">
        <v>0.2</v>
      </c>
      <c r="E77" s="419"/>
      <c r="F77" s="464"/>
      <c r="G77" s="467"/>
      <c r="H77" s="464"/>
      <c r="I77" s="464"/>
      <c r="J77" s="464"/>
      <c r="K77" s="464"/>
      <c r="L77" s="468"/>
    </row>
    <row r="78" spans="1:12" s="69" customFormat="1" ht="36.75" customHeight="1" x14ac:dyDescent="0.3">
      <c r="A78" s="136">
        <v>8</v>
      </c>
      <c r="B78" s="137" t="s">
        <v>368</v>
      </c>
      <c r="C78" s="134" t="s">
        <v>33</v>
      </c>
      <c r="D78" s="422"/>
      <c r="E78" s="423">
        <v>8.4</v>
      </c>
      <c r="F78" s="502"/>
      <c r="G78" s="423"/>
      <c r="H78" s="423"/>
      <c r="I78" s="423"/>
      <c r="J78" s="423"/>
      <c r="K78" s="423"/>
      <c r="L78" s="424"/>
    </row>
    <row r="79" spans="1:12" s="69" customFormat="1" ht="12.75" customHeight="1" x14ac:dyDescent="0.3">
      <c r="A79" s="78"/>
      <c r="B79" s="24" t="s">
        <v>8</v>
      </c>
      <c r="C79" s="79" t="s">
        <v>33</v>
      </c>
      <c r="D79" s="425">
        <v>1</v>
      </c>
      <c r="E79" s="426"/>
      <c r="F79" s="426"/>
      <c r="G79" s="427"/>
      <c r="H79" s="493"/>
      <c r="I79" s="426"/>
      <c r="J79" s="426"/>
      <c r="K79" s="426"/>
      <c r="L79" s="428"/>
    </row>
    <row r="80" spans="1:12" s="69" customFormat="1" ht="12.75" customHeight="1" x14ac:dyDescent="0.3">
      <c r="A80" s="78"/>
      <c r="B80" s="24" t="s">
        <v>12</v>
      </c>
      <c r="C80" s="79"/>
      <c r="D80" s="425"/>
      <c r="E80" s="426"/>
      <c r="F80" s="426"/>
      <c r="G80" s="427"/>
      <c r="H80" s="426"/>
      <c r="I80" s="426"/>
      <c r="J80" s="426"/>
      <c r="K80" s="426"/>
      <c r="L80" s="428"/>
    </row>
    <row r="81" spans="1:20" s="69" customFormat="1" ht="12.75" customHeight="1" x14ac:dyDescent="0.3">
      <c r="A81" s="78"/>
      <c r="B81" s="24" t="s">
        <v>75</v>
      </c>
      <c r="C81" s="79" t="s">
        <v>33</v>
      </c>
      <c r="D81" s="425">
        <v>2.1</v>
      </c>
      <c r="E81" s="426"/>
      <c r="F81" s="503"/>
      <c r="G81" s="427"/>
      <c r="H81" s="426"/>
      <c r="I81" s="426"/>
      <c r="J81" s="426"/>
      <c r="K81" s="426"/>
      <c r="L81" s="428"/>
    </row>
    <row r="82" spans="1:20" s="69" customFormat="1" ht="12.75" customHeight="1" x14ac:dyDescent="0.3">
      <c r="A82" s="78"/>
      <c r="B82" s="24" t="s">
        <v>437</v>
      </c>
      <c r="C82" s="79" t="s">
        <v>33</v>
      </c>
      <c r="D82" s="425">
        <v>1.05</v>
      </c>
      <c r="E82" s="426"/>
      <c r="F82" s="503"/>
      <c r="G82" s="427"/>
      <c r="H82" s="426"/>
      <c r="I82" s="426"/>
      <c r="J82" s="426"/>
      <c r="K82" s="426"/>
      <c r="L82" s="428"/>
    </row>
    <row r="83" spans="1:20" s="69" customFormat="1" ht="12.75" customHeight="1" x14ac:dyDescent="0.3">
      <c r="A83" s="78"/>
      <c r="B83" s="24" t="s">
        <v>396</v>
      </c>
      <c r="C83" s="79" t="s">
        <v>7</v>
      </c>
      <c r="D83" s="425">
        <v>2.5</v>
      </c>
      <c r="E83" s="426"/>
      <c r="F83" s="503"/>
      <c r="G83" s="427"/>
      <c r="H83" s="426"/>
      <c r="I83" s="426"/>
      <c r="J83" s="426"/>
      <c r="K83" s="426"/>
      <c r="L83" s="428"/>
    </row>
    <row r="84" spans="1:20" s="69" customFormat="1" ht="12.75" customHeight="1" x14ac:dyDescent="0.3">
      <c r="A84" s="78"/>
      <c r="B84" s="24" t="s">
        <v>397</v>
      </c>
      <c r="C84" s="79" t="s">
        <v>7</v>
      </c>
      <c r="D84" s="425">
        <v>2</v>
      </c>
      <c r="E84" s="426"/>
      <c r="F84" s="426"/>
      <c r="G84" s="427"/>
      <c r="H84" s="426"/>
      <c r="I84" s="426"/>
      <c r="J84" s="426"/>
      <c r="K84" s="426"/>
      <c r="L84" s="428"/>
    </row>
    <row r="85" spans="1:20" s="69" customFormat="1" ht="12.75" customHeight="1" x14ac:dyDescent="0.3">
      <c r="A85" s="247"/>
      <c r="B85" s="248" t="s">
        <v>457</v>
      </c>
      <c r="C85" s="249" t="s">
        <v>7</v>
      </c>
      <c r="D85" s="590">
        <v>1.3</v>
      </c>
      <c r="E85" s="503"/>
      <c r="F85" s="503"/>
      <c r="G85" s="608"/>
      <c r="H85" s="503"/>
      <c r="I85" s="503"/>
      <c r="J85" s="503"/>
      <c r="K85" s="503"/>
      <c r="L85" s="609"/>
    </row>
    <row r="86" spans="1:20" s="69" customFormat="1" ht="12.75" customHeight="1" x14ac:dyDescent="0.3">
      <c r="A86" s="78"/>
      <c r="B86" s="24" t="s">
        <v>263</v>
      </c>
      <c r="C86" s="79" t="s">
        <v>229</v>
      </c>
      <c r="D86" s="425">
        <v>1.05</v>
      </c>
      <c r="E86" s="426"/>
      <c r="F86" s="426"/>
      <c r="G86" s="427"/>
      <c r="H86" s="426"/>
      <c r="I86" s="426"/>
      <c r="J86" s="426"/>
      <c r="K86" s="426"/>
      <c r="L86" s="428"/>
    </row>
    <row r="87" spans="1:20" s="69" customFormat="1" ht="12.75" customHeight="1" x14ac:dyDescent="0.3">
      <c r="A87" s="78"/>
      <c r="B87" s="24" t="s">
        <v>264</v>
      </c>
      <c r="C87" s="79" t="s">
        <v>9</v>
      </c>
      <c r="D87" s="425">
        <v>1.6</v>
      </c>
      <c r="E87" s="426"/>
      <c r="F87" s="426"/>
      <c r="G87" s="427"/>
      <c r="H87" s="426"/>
      <c r="I87" s="426"/>
      <c r="J87" s="426"/>
      <c r="K87" s="426"/>
      <c r="L87" s="428"/>
      <c r="T87" s="69" t="s">
        <v>467</v>
      </c>
    </row>
    <row r="88" spans="1:20" s="69" customFormat="1" ht="12.75" customHeight="1" x14ac:dyDescent="0.3">
      <c r="A88" s="78"/>
      <c r="B88" s="24" t="s">
        <v>81</v>
      </c>
      <c r="C88" s="79" t="s">
        <v>9</v>
      </c>
      <c r="D88" s="425">
        <v>7</v>
      </c>
      <c r="E88" s="426"/>
      <c r="F88" s="426"/>
      <c r="G88" s="427"/>
      <c r="H88" s="426"/>
      <c r="I88" s="426"/>
      <c r="J88" s="426"/>
      <c r="K88" s="426"/>
      <c r="L88" s="428"/>
    </row>
    <row r="89" spans="1:20" s="69" customFormat="1" ht="12.75" customHeight="1" x14ac:dyDescent="0.3">
      <c r="A89" s="78"/>
      <c r="B89" s="24" t="s">
        <v>82</v>
      </c>
      <c r="C89" s="79" t="s">
        <v>9</v>
      </c>
      <c r="D89" s="425">
        <v>15</v>
      </c>
      <c r="E89" s="426"/>
      <c r="F89" s="426"/>
      <c r="G89" s="427"/>
      <c r="H89" s="426"/>
      <c r="I89" s="426"/>
      <c r="J89" s="426"/>
      <c r="K89" s="426"/>
      <c r="L89" s="428"/>
    </row>
    <row r="90" spans="1:20" s="69" customFormat="1" thickBot="1" x14ac:dyDescent="0.35">
      <c r="A90" s="140"/>
      <c r="B90" s="98" t="s">
        <v>84</v>
      </c>
      <c r="C90" s="141" t="s">
        <v>7</v>
      </c>
      <c r="D90" s="429">
        <v>0.2</v>
      </c>
      <c r="E90" s="419"/>
      <c r="F90" s="419"/>
      <c r="G90" s="430"/>
      <c r="H90" s="419"/>
      <c r="I90" s="419"/>
      <c r="J90" s="419"/>
      <c r="K90" s="419"/>
      <c r="L90" s="431"/>
    </row>
    <row r="91" spans="1:20" s="69" customFormat="1" ht="45" customHeight="1" x14ac:dyDescent="0.3">
      <c r="A91" s="97">
        <v>9</v>
      </c>
      <c r="B91" s="137" t="s">
        <v>332</v>
      </c>
      <c r="C91" s="134" t="s">
        <v>33</v>
      </c>
      <c r="D91" s="422"/>
      <c r="E91" s="423">
        <v>22.2</v>
      </c>
      <c r="F91" s="502"/>
      <c r="G91" s="423"/>
      <c r="H91" s="423"/>
      <c r="I91" s="423"/>
      <c r="J91" s="423"/>
      <c r="K91" s="423"/>
      <c r="L91" s="424"/>
    </row>
    <row r="92" spans="1:20" s="69" customFormat="1" ht="12.75" customHeight="1" x14ac:dyDescent="0.3">
      <c r="A92" s="247"/>
      <c r="B92" s="24" t="s">
        <v>8</v>
      </c>
      <c r="C92" s="79" t="s">
        <v>33</v>
      </c>
      <c r="D92" s="425">
        <v>1</v>
      </c>
      <c r="E92" s="426"/>
      <c r="F92" s="426"/>
      <c r="G92" s="427"/>
      <c r="H92" s="493"/>
      <c r="I92" s="426"/>
      <c r="J92" s="426"/>
      <c r="K92" s="426"/>
      <c r="L92" s="428"/>
    </row>
    <row r="93" spans="1:20" s="69" customFormat="1" ht="12.75" customHeight="1" x14ac:dyDescent="0.3">
      <c r="A93" s="247"/>
      <c r="B93" s="24" t="s">
        <v>12</v>
      </c>
      <c r="C93" s="79"/>
      <c r="D93" s="425"/>
      <c r="E93" s="426"/>
      <c r="F93" s="426"/>
      <c r="G93" s="427"/>
      <c r="H93" s="426"/>
      <c r="I93" s="426"/>
      <c r="J93" s="426"/>
      <c r="K93" s="426"/>
      <c r="L93" s="428"/>
    </row>
    <row r="94" spans="1:20" s="69" customFormat="1" ht="12.75" customHeight="1" x14ac:dyDescent="0.3">
      <c r="A94" s="247"/>
      <c r="B94" s="24" t="s">
        <v>75</v>
      </c>
      <c r="C94" s="79" t="s">
        <v>33</v>
      </c>
      <c r="D94" s="425">
        <v>2.1</v>
      </c>
      <c r="E94" s="426"/>
      <c r="F94" s="503"/>
      <c r="G94" s="427"/>
      <c r="H94" s="426"/>
      <c r="I94" s="426"/>
      <c r="J94" s="426"/>
      <c r="K94" s="426"/>
      <c r="L94" s="428"/>
    </row>
    <row r="95" spans="1:20" s="69" customFormat="1" ht="12.75" customHeight="1" x14ac:dyDescent="0.3">
      <c r="A95" s="247"/>
      <c r="B95" s="24" t="s">
        <v>333</v>
      </c>
      <c r="C95" s="79" t="s">
        <v>7</v>
      </c>
      <c r="D95" s="425">
        <v>2.5</v>
      </c>
      <c r="E95" s="426"/>
      <c r="F95" s="503"/>
      <c r="G95" s="427"/>
      <c r="H95" s="426"/>
      <c r="I95" s="426"/>
      <c r="J95" s="426"/>
      <c r="K95" s="426"/>
      <c r="L95" s="428"/>
    </row>
    <row r="96" spans="1:20" s="69" customFormat="1" ht="12.75" customHeight="1" x14ac:dyDescent="0.3">
      <c r="A96" s="247"/>
      <c r="B96" s="24" t="s">
        <v>436</v>
      </c>
      <c r="C96" s="79" t="s">
        <v>33</v>
      </c>
      <c r="D96" s="425">
        <v>1.05</v>
      </c>
      <c r="E96" s="426"/>
      <c r="F96" s="503"/>
      <c r="G96" s="427"/>
      <c r="H96" s="426"/>
      <c r="I96" s="426"/>
      <c r="J96" s="426"/>
      <c r="K96" s="426"/>
      <c r="L96" s="428"/>
    </row>
    <row r="97" spans="1:12" s="69" customFormat="1" ht="12.75" customHeight="1" x14ac:dyDescent="0.3">
      <c r="A97" s="247"/>
      <c r="B97" s="24" t="s">
        <v>264</v>
      </c>
      <c r="C97" s="79" t="s">
        <v>9</v>
      </c>
      <c r="D97" s="425">
        <v>1.6</v>
      </c>
      <c r="E97" s="426"/>
      <c r="F97" s="503"/>
      <c r="G97" s="427"/>
      <c r="H97" s="426"/>
      <c r="I97" s="426"/>
      <c r="J97" s="426"/>
      <c r="K97" s="426"/>
      <c r="L97" s="428"/>
    </row>
    <row r="98" spans="1:12" s="69" customFormat="1" ht="12.75" customHeight="1" x14ac:dyDescent="0.3">
      <c r="A98" s="247"/>
      <c r="B98" s="24" t="s">
        <v>81</v>
      </c>
      <c r="C98" s="79" t="s">
        <v>9</v>
      </c>
      <c r="D98" s="425">
        <v>7</v>
      </c>
      <c r="E98" s="426"/>
      <c r="F98" s="503"/>
      <c r="G98" s="427"/>
      <c r="H98" s="426"/>
      <c r="I98" s="426"/>
      <c r="J98" s="426"/>
      <c r="K98" s="426"/>
      <c r="L98" s="428"/>
    </row>
    <row r="99" spans="1:12" s="69" customFormat="1" ht="12.75" customHeight="1" x14ac:dyDescent="0.3">
      <c r="A99" s="247"/>
      <c r="B99" s="24" t="s">
        <v>82</v>
      </c>
      <c r="C99" s="79" t="s">
        <v>9</v>
      </c>
      <c r="D99" s="425">
        <v>15</v>
      </c>
      <c r="E99" s="426"/>
      <c r="F99" s="426"/>
      <c r="G99" s="427"/>
      <c r="H99" s="426"/>
      <c r="I99" s="426"/>
      <c r="J99" s="426"/>
      <c r="K99" s="426"/>
      <c r="L99" s="428"/>
    </row>
    <row r="100" spans="1:12" s="69" customFormat="1" thickBot="1" x14ac:dyDescent="0.35">
      <c r="A100" s="140"/>
      <c r="B100" s="98" t="s">
        <v>84</v>
      </c>
      <c r="C100" s="141" t="s">
        <v>7</v>
      </c>
      <c r="D100" s="429">
        <v>0.2</v>
      </c>
      <c r="E100" s="419"/>
      <c r="F100" s="419"/>
      <c r="G100" s="430"/>
      <c r="H100" s="419"/>
      <c r="I100" s="419"/>
      <c r="J100" s="419"/>
      <c r="K100" s="419"/>
      <c r="L100" s="431"/>
    </row>
    <row r="101" spans="1:12" s="69" customFormat="1" ht="39" customHeight="1" x14ac:dyDescent="0.3">
      <c r="A101" s="136">
        <v>10</v>
      </c>
      <c r="B101" s="137" t="s">
        <v>455</v>
      </c>
      <c r="C101" s="134" t="s">
        <v>33</v>
      </c>
      <c r="D101" s="422"/>
      <c r="E101" s="423">
        <v>17</v>
      </c>
      <c r="F101" s="508"/>
      <c r="G101" s="423"/>
      <c r="H101" s="423"/>
      <c r="I101" s="423"/>
      <c r="J101" s="423"/>
      <c r="K101" s="423"/>
      <c r="L101" s="424"/>
    </row>
    <row r="102" spans="1:12" s="69" customFormat="1" ht="12.75" customHeight="1" x14ac:dyDescent="0.3">
      <c r="A102" s="78"/>
      <c r="B102" s="24" t="s">
        <v>8</v>
      </c>
      <c r="C102" s="79" t="s">
        <v>33</v>
      </c>
      <c r="D102" s="425">
        <v>1</v>
      </c>
      <c r="E102" s="426"/>
      <c r="F102" s="503"/>
      <c r="G102" s="427"/>
      <c r="H102" s="493"/>
      <c r="I102" s="426"/>
      <c r="J102" s="426"/>
      <c r="K102" s="426"/>
      <c r="L102" s="428"/>
    </row>
    <row r="103" spans="1:12" s="69" customFormat="1" ht="12.75" customHeight="1" x14ac:dyDescent="0.3">
      <c r="A103" s="78"/>
      <c r="B103" s="24" t="s">
        <v>12</v>
      </c>
      <c r="C103" s="79"/>
      <c r="D103" s="425"/>
      <c r="E103" s="426"/>
      <c r="F103" s="503"/>
      <c r="G103" s="427"/>
      <c r="H103" s="426"/>
      <c r="I103" s="426"/>
      <c r="J103" s="426"/>
      <c r="K103" s="426"/>
      <c r="L103" s="428"/>
    </row>
    <row r="104" spans="1:12" s="69" customFormat="1" ht="12.6" customHeight="1" x14ac:dyDescent="0.3">
      <c r="A104" s="78"/>
      <c r="B104" s="24" t="s">
        <v>265</v>
      </c>
      <c r="C104" s="79" t="s">
        <v>33</v>
      </c>
      <c r="D104" s="425">
        <v>2.1</v>
      </c>
      <c r="E104" s="426"/>
      <c r="F104" s="503"/>
      <c r="G104" s="427"/>
      <c r="H104" s="426"/>
      <c r="I104" s="426"/>
      <c r="J104" s="426"/>
      <c r="K104" s="426"/>
      <c r="L104" s="428"/>
    </row>
    <row r="105" spans="1:12" s="69" customFormat="1" ht="12.75" customHeight="1" x14ac:dyDescent="0.3">
      <c r="A105" s="78"/>
      <c r="B105" s="24" t="s">
        <v>435</v>
      </c>
      <c r="C105" s="79" t="s">
        <v>33</v>
      </c>
      <c r="D105" s="425">
        <v>1.05</v>
      </c>
      <c r="E105" s="426"/>
      <c r="F105" s="503"/>
      <c r="G105" s="427"/>
      <c r="H105" s="426"/>
      <c r="I105" s="426"/>
      <c r="J105" s="426"/>
      <c r="K105" s="426"/>
      <c r="L105" s="428"/>
    </row>
    <row r="106" spans="1:12" s="69" customFormat="1" ht="12.75" customHeight="1" x14ac:dyDescent="0.3">
      <c r="A106" s="78"/>
      <c r="B106" s="24" t="s">
        <v>370</v>
      </c>
      <c r="C106" s="79" t="s">
        <v>7</v>
      </c>
      <c r="D106" s="425">
        <v>2</v>
      </c>
      <c r="E106" s="426"/>
      <c r="F106" s="503"/>
      <c r="G106" s="427"/>
      <c r="H106" s="426"/>
      <c r="I106" s="426"/>
      <c r="J106" s="426"/>
      <c r="K106" s="426"/>
      <c r="L106" s="428"/>
    </row>
    <row r="107" spans="1:12" s="69" customFormat="1" ht="12.75" customHeight="1" x14ac:dyDescent="0.3">
      <c r="A107" s="247"/>
      <c r="B107" s="248" t="s">
        <v>465</v>
      </c>
      <c r="C107" s="249" t="s">
        <v>7</v>
      </c>
      <c r="D107" s="590">
        <v>1.3</v>
      </c>
      <c r="E107" s="503"/>
      <c r="F107" s="503"/>
      <c r="G107" s="608"/>
      <c r="H107" s="503"/>
      <c r="I107" s="503"/>
      <c r="J107" s="503"/>
      <c r="K107" s="503"/>
      <c r="L107" s="609"/>
    </row>
    <row r="108" spans="1:12" s="69" customFormat="1" ht="12.75" customHeight="1" x14ac:dyDescent="0.3">
      <c r="A108" s="78"/>
      <c r="B108" s="24" t="s">
        <v>79</v>
      </c>
      <c r="C108" s="79" t="s">
        <v>9</v>
      </c>
      <c r="D108" s="425">
        <v>2.4</v>
      </c>
      <c r="E108" s="426"/>
      <c r="F108" s="503"/>
      <c r="G108" s="427"/>
      <c r="H108" s="426"/>
      <c r="I108" s="426"/>
      <c r="J108" s="426"/>
      <c r="K108" s="426"/>
      <c r="L108" s="428"/>
    </row>
    <row r="109" spans="1:12" s="69" customFormat="1" ht="12.75" customHeight="1" x14ac:dyDescent="0.3">
      <c r="A109" s="78"/>
      <c r="B109" s="24" t="s">
        <v>80</v>
      </c>
      <c r="C109" s="79" t="s">
        <v>9</v>
      </c>
      <c r="D109" s="425">
        <v>1.5</v>
      </c>
      <c r="E109" s="426"/>
      <c r="F109" s="426"/>
      <c r="G109" s="427"/>
      <c r="H109" s="426"/>
      <c r="I109" s="426"/>
      <c r="J109" s="426"/>
      <c r="K109" s="426"/>
      <c r="L109" s="428"/>
    </row>
    <row r="110" spans="1:12" s="69" customFormat="1" ht="12.75" customHeight="1" x14ac:dyDescent="0.3">
      <c r="A110" s="78"/>
      <c r="B110" s="24" t="s">
        <v>81</v>
      </c>
      <c r="C110" s="79" t="s">
        <v>9</v>
      </c>
      <c r="D110" s="425">
        <v>7</v>
      </c>
      <c r="E110" s="426"/>
      <c r="F110" s="426"/>
      <c r="G110" s="427"/>
      <c r="H110" s="426"/>
      <c r="I110" s="426"/>
      <c r="J110" s="426"/>
      <c r="K110" s="426"/>
      <c r="L110" s="428"/>
    </row>
    <row r="111" spans="1:12" s="69" customFormat="1" ht="12.75" customHeight="1" x14ac:dyDescent="0.3">
      <c r="A111" s="78"/>
      <c r="B111" s="24" t="s">
        <v>82</v>
      </c>
      <c r="C111" s="79" t="s">
        <v>9</v>
      </c>
      <c r="D111" s="425">
        <v>15</v>
      </c>
      <c r="E111" s="426"/>
      <c r="F111" s="426"/>
      <c r="G111" s="427"/>
      <c r="H111" s="426"/>
      <c r="I111" s="426"/>
      <c r="J111" s="426"/>
      <c r="K111" s="426"/>
      <c r="L111" s="428"/>
    </row>
    <row r="112" spans="1:12" s="69" customFormat="1" ht="12.75" customHeight="1" x14ac:dyDescent="0.3">
      <c r="A112" s="78"/>
      <c r="B112" s="24" t="s">
        <v>83</v>
      </c>
      <c r="C112" s="79" t="s">
        <v>7</v>
      </c>
      <c r="D112" s="425">
        <v>0.5</v>
      </c>
      <c r="E112" s="426"/>
      <c r="F112" s="426"/>
      <c r="G112" s="427"/>
      <c r="H112" s="426"/>
      <c r="I112" s="426"/>
      <c r="J112" s="426"/>
      <c r="K112" s="426"/>
      <c r="L112" s="428"/>
    </row>
    <row r="113" spans="1:17" s="69" customFormat="1" ht="24" customHeight="1" thickBot="1" x14ac:dyDescent="0.35">
      <c r="A113" s="140"/>
      <c r="B113" s="98" t="s">
        <v>84</v>
      </c>
      <c r="C113" s="141" t="s">
        <v>7</v>
      </c>
      <c r="D113" s="429">
        <v>0.2</v>
      </c>
      <c r="E113" s="419"/>
      <c r="F113" s="419"/>
      <c r="G113" s="430"/>
      <c r="H113" s="419"/>
      <c r="I113" s="419"/>
      <c r="J113" s="419"/>
      <c r="K113" s="419"/>
      <c r="L113" s="431"/>
    </row>
    <row r="114" spans="1:17" s="69" customFormat="1" ht="39" customHeight="1" x14ac:dyDescent="0.3">
      <c r="A114" s="136">
        <v>11</v>
      </c>
      <c r="B114" s="137" t="s">
        <v>456</v>
      </c>
      <c r="C114" s="134" t="s">
        <v>33</v>
      </c>
      <c r="D114" s="422"/>
      <c r="E114" s="423">
        <v>190.6</v>
      </c>
      <c r="F114" s="508"/>
      <c r="G114" s="423"/>
      <c r="H114" s="423"/>
      <c r="I114" s="423"/>
      <c r="J114" s="423"/>
      <c r="K114" s="423"/>
      <c r="L114" s="424"/>
    </row>
    <row r="115" spans="1:17" s="69" customFormat="1" ht="12.75" customHeight="1" x14ac:dyDescent="0.3">
      <c r="A115" s="78"/>
      <c r="B115" s="24" t="s">
        <v>8</v>
      </c>
      <c r="C115" s="79" t="s">
        <v>33</v>
      </c>
      <c r="D115" s="425">
        <v>1</v>
      </c>
      <c r="E115" s="426"/>
      <c r="F115" s="503"/>
      <c r="G115" s="427"/>
      <c r="H115" s="493"/>
      <c r="I115" s="426"/>
      <c r="J115" s="426"/>
      <c r="K115" s="426"/>
      <c r="L115" s="428"/>
    </row>
    <row r="116" spans="1:17" s="69" customFormat="1" ht="12.75" customHeight="1" x14ac:dyDescent="0.3">
      <c r="A116" s="78"/>
      <c r="B116" s="24" t="s">
        <v>12</v>
      </c>
      <c r="C116" s="79"/>
      <c r="D116" s="425"/>
      <c r="E116" s="426"/>
      <c r="F116" s="503"/>
      <c r="G116" s="427"/>
      <c r="H116" s="426"/>
      <c r="I116" s="426"/>
      <c r="J116" s="426"/>
      <c r="K116" s="426"/>
      <c r="L116" s="428"/>
    </row>
    <row r="117" spans="1:17" s="69" customFormat="1" ht="12.6" customHeight="1" x14ac:dyDescent="0.3">
      <c r="A117" s="78"/>
      <c r="B117" s="24" t="s">
        <v>150</v>
      </c>
      <c r="C117" s="79" t="s">
        <v>33</v>
      </c>
      <c r="D117" s="425">
        <v>2.1</v>
      </c>
      <c r="E117" s="426"/>
      <c r="F117" s="503"/>
      <c r="G117" s="427"/>
      <c r="H117" s="426"/>
      <c r="I117" s="426"/>
      <c r="J117" s="426"/>
      <c r="K117" s="426"/>
      <c r="L117" s="428"/>
    </row>
    <row r="118" spans="1:17" s="69" customFormat="1" ht="12.75" customHeight="1" x14ac:dyDescent="0.3">
      <c r="A118" s="78"/>
      <c r="B118" s="24" t="s">
        <v>435</v>
      </c>
      <c r="C118" s="79" t="s">
        <v>33</v>
      </c>
      <c r="D118" s="425">
        <v>1.05</v>
      </c>
      <c r="E118" s="426"/>
      <c r="F118" s="503"/>
      <c r="G118" s="427"/>
      <c r="H118" s="426"/>
      <c r="I118" s="426"/>
      <c r="J118" s="426"/>
      <c r="K118" s="426"/>
      <c r="L118" s="428"/>
    </row>
    <row r="119" spans="1:17" s="69" customFormat="1" ht="12.75" customHeight="1" x14ac:dyDescent="0.3">
      <c r="A119" s="78"/>
      <c r="B119" s="24" t="s">
        <v>370</v>
      </c>
      <c r="C119" s="79" t="s">
        <v>7</v>
      </c>
      <c r="D119" s="425">
        <v>2</v>
      </c>
      <c r="E119" s="426"/>
      <c r="F119" s="503"/>
      <c r="G119" s="427"/>
      <c r="H119" s="426"/>
      <c r="I119" s="426"/>
      <c r="J119" s="426"/>
      <c r="K119" s="426"/>
      <c r="L119" s="428"/>
    </row>
    <row r="120" spans="1:17" s="69" customFormat="1" ht="13.8" x14ac:dyDescent="0.3">
      <c r="A120" s="247"/>
      <c r="B120" s="248" t="s">
        <v>465</v>
      </c>
      <c r="C120" s="249" t="s">
        <v>7</v>
      </c>
      <c r="D120" s="590">
        <v>1.3</v>
      </c>
      <c r="E120" s="503"/>
      <c r="F120" s="503"/>
      <c r="G120" s="608"/>
      <c r="H120" s="503"/>
      <c r="I120" s="503"/>
      <c r="J120" s="503"/>
      <c r="K120" s="503"/>
      <c r="L120" s="609"/>
    </row>
    <row r="121" spans="1:17" s="69" customFormat="1" ht="12.75" customHeight="1" x14ac:dyDescent="0.3">
      <c r="A121" s="78"/>
      <c r="B121" s="24" t="s">
        <v>79</v>
      </c>
      <c r="C121" s="79" t="s">
        <v>9</v>
      </c>
      <c r="D121" s="425">
        <v>2.4</v>
      </c>
      <c r="E121" s="426"/>
      <c r="F121" s="503"/>
      <c r="G121" s="427"/>
      <c r="H121" s="426"/>
      <c r="I121" s="426"/>
      <c r="J121" s="426"/>
      <c r="K121" s="426"/>
      <c r="L121" s="428"/>
    </row>
    <row r="122" spans="1:17" s="69" customFormat="1" ht="12.75" customHeight="1" x14ac:dyDescent="0.3">
      <c r="A122" s="78"/>
      <c r="B122" s="24" t="s">
        <v>80</v>
      </c>
      <c r="C122" s="79" t="s">
        <v>9</v>
      </c>
      <c r="D122" s="425">
        <v>1.5</v>
      </c>
      <c r="E122" s="426"/>
      <c r="F122" s="426"/>
      <c r="G122" s="427"/>
      <c r="H122" s="426"/>
      <c r="I122" s="426"/>
      <c r="J122" s="426"/>
      <c r="K122" s="426"/>
      <c r="L122" s="428"/>
    </row>
    <row r="123" spans="1:17" s="69" customFormat="1" ht="12.75" customHeight="1" x14ac:dyDescent="0.3">
      <c r="A123" s="78"/>
      <c r="B123" s="24" t="s">
        <v>81</v>
      </c>
      <c r="C123" s="79" t="s">
        <v>9</v>
      </c>
      <c r="D123" s="425">
        <v>7</v>
      </c>
      <c r="E123" s="426"/>
      <c r="F123" s="426"/>
      <c r="G123" s="427"/>
      <c r="H123" s="426"/>
      <c r="I123" s="426"/>
      <c r="J123" s="426"/>
      <c r="K123" s="426"/>
      <c r="L123" s="428"/>
    </row>
    <row r="124" spans="1:17" s="69" customFormat="1" ht="12.75" customHeight="1" x14ac:dyDescent="0.3">
      <c r="A124" s="78"/>
      <c r="B124" s="24" t="s">
        <v>82</v>
      </c>
      <c r="C124" s="79" t="s">
        <v>9</v>
      </c>
      <c r="D124" s="425">
        <v>15</v>
      </c>
      <c r="E124" s="426"/>
      <c r="F124" s="426"/>
      <c r="G124" s="427"/>
      <c r="H124" s="426"/>
      <c r="I124" s="426"/>
      <c r="J124" s="426"/>
      <c r="K124" s="426"/>
      <c r="L124" s="428"/>
    </row>
    <row r="125" spans="1:17" s="69" customFormat="1" ht="12.75" customHeight="1" x14ac:dyDescent="0.3">
      <c r="A125" s="78"/>
      <c r="B125" s="24" t="s">
        <v>83</v>
      </c>
      <c r="C125" s="79" t="s">
        <v>7</v>
      </c>
      <c r="D125" s="425">
        <v>0.5</v>
      </c>
      <c r="E125" s="426"/>
      <c r="F125" s="426"/>
      <c r="G125" s="427"/>
      <c r="H125" s="426"/>
      <c r="I125" s="426"/>
      <c r="J125" s="426"/>
      <c r="K125" s="426"/>
      <c r="L125" s="428"/>
    </row>
    <row r="126" spans="1:17" s="69" customFormat="1" thickBot="1" x14ac:dyDescent="0.35">
      <c r="A126" s="140"/>
      <c r="B126" s="98" t="s">
        <v>84</v>
      </c>
      <c r="C126" s="141" t="s">
        <v>7</v>
      </c>
      <c r="D126" s="429">
        <v>0.2</v>
      </c>
      <c r="E126" s="419"/>
      <c r="F126" s="419"/>
      <c r="G126" s="430"/>
      <c r="H126" s="419"/>
      <c r="I126" s="419"/>
      <c r="J126" s="419"/>
      <c r="K126" s="419"/>
      <c r="L126" s="431"/>
    </row>
    <row r="127" spans="1:17" s="101" customFormat="1" ht="21" customHeight="1" x14ac:dyDescent="0.3">
      <c r="A127" s="704">
        <v>12</v>
      </c>
      <c r="B127" s="706" t="s">
        <v>371</v>
      </c>
      <c r="C127" s="356" t="s">
        <v>30</v>
      </c>
      <c r="D127" s="450"/>
      <c r="E127" s="423">
        <f>E128*0.2</f>
        <v>470.79200000000003</v>
      </c>
      <c r="F127" s="451"/>
      <c r="G127" s="452"/>
      <c r="H127" s="452"/>
      <c r="I127" s="452"/>
      <c r="J127" s="452"/>
      <c r="K127" s="452"/>
      <c r="L127" s="484"/>
      <c r="P127" s="158"/>
      <c r="Q127" s="158"/>
    </row>
    <row r="128" spans="1:17" s="101" customFormat="1" ht="13.8" x14ac:dyDescent="0.3">
      <c r="A128" s="705"/>
      <c r="B128" s="707"/>
      <c r="C128" s="358" t="s">
        <v>28</v>
      </c>
      <c r="D128" s="509"/>
      <c r="E128" s="510">
        <v>2353.96</v>
      </c>
      <c r="F128" s="454"/>
      <c r="G128" s="455"/>
      <c r="H128" s="455"/>
      <c r="I128" s="455"/>
      <c r="J128" s="455"/>
      <c r="K128" s="511"/>
      <c r="L128" s="512"/>
      <c r="P128" s="69"/>
      <c r="Q128" s="69"/>
    </row>
    <row r="129" spans="1:20" s="158" customFormat="1" ht="18" customHeight="1" x14ac:dyDescent="0.3">
      <c r="A129" s="357"/>
      <c r="B129" s="359" t="s">
        <v>8</v>
      </c>
      <c r="C129" s="159" t="s">
        <v>28</v>
      </c>
      <c r="D129" s="485">
        <v>1</v>
      </c>
      <c r="E129" s="485"/>
      <c r="F129" s="486"/>
      <c r="G129" s="487"/>
      <c r="H129" s="487"/>
      <c r="I129" s="487"/>
      <c r="J129" s="426"/>
      <c r="K129" s="426"/>
      <c r="L129" s="513"/>
      <c r="P129" s="183"/>
      <c r="Q129" s="184"/>
    </row>
    <row r="130" spans="1:20" s="184" customFormat="1" ht="18" customHeight="1" x14ac:dyDescent="0.3">
      <c r="A130" s="243"/>
      <c r="B130" s="192" t="s">
        <v>12</v>
      </c>
      <c r="C130" s="190"/>
      <c r="D130" s="456"/>
      <c r="E130" s="457"/>
      <c r="F130" s="458"/>
      <c r="G130" s="458"/>
      <c r="H130" s="458"/>
      <c r="I130" s="459"/>
      <c r="J130" s="426"/>
      <c r="K130" s="426"/>
      <c r="L130" s="513"/>
      <c r="M130" s="183"/>
      <c r="N130" s="183"/>
      <c r="P130" s="343"/>
      <c r="Q130" s="343"/>
    </row>
    <row r="131" spans="1:20" s="332" customFormat="1" ht="18" customHeight="1" x14ac:dyDescent="0.3">
      <c r="A131" s="360"/>
      <c r="B131" s="341" t="s">
        <v>122</v>
      </c>
      <c r="C131" s="336" t="s">
        <v>356</v>
      </c>
      <c r="D131" s="462">
        <f>0.2*0.11*1.21</f>
        <v>2.6620000000000001E-2</v>
      </c>
      <c r="E131" s="462"/>
      <c r="F131" s="351"/>
      <c r="G131" s="455"/>
      <c r="H131" s="455"/>
      <c r="I131" s="455"/>
      <c r="J131" s="426"/>
      <c r="K131" s="426"/>
      <c r="L131" s="513"/>
      <c r="M131" s="337"/>
      <c r="N131" s="330"/>
      <c r="P131" s="69"/>
      <c r="Q131" s="69"/>
      <c r="S131" s="333"/>
    </row>
    <row r="132" spans="1:20" s="343" customFormat="1" ht="18" customHeight="1" x14ac:dyDescent="0.3">
      <c r="A132" s="360"/>
      <c r="B132" s="341" t="s">
        <v>138</v>
      </c>
      <c r="C132" s="336" t="s">
        <v>228</v>
      </c>
      <c r="D132" s="462">
        <f>0.2*0.11*0.319</f>
        <v>7.0180000000000008E-3</v>
      </c>
      <c r="E132" s="462"/>
      <c r="F132" s="351"/>
      <c r="G132" s="455"/>
      <c r="H132" s="455"/>
      <c r="I132" s="455"/>
      <c r="J132" s="426"/>
      <c r="K132" s="426"/>
      <c r="L132" s="513"/>
      <c r="M132" s="342"/>
      <c r="N132" s="342"/>
      <c r="P132"/>
      <c r="Q132"/>
      <c r="S132" s="333"/>
    </row>
    <row r="133" spans="1:20" s="69" customFormat="1" ht="13.95" customHeight="1" thickBot="1" x14ac:dyDescent="0.35">
      <c r="A133" s="140"/>
      <c r="B133" s="98" t="s">
        <v>14</v>
      </c>
      <c r="C133" s="141" t="s">
        <v>15</v>
      </c>
      <c r="D133" s="429">
        <v>3.0000000000000001E-3</v>
      </c>
      <c r="E133" s="419"/>
      <c r="F133" s="465"/>
      <c r="G133" s="466"/>
      <c r="H133" s="466"/>
      <c r="I133" s="466"/>
      <c r="J133" s="419"/>
      <c r="K133" s="419"/>
      <c r="L133" s="514"/>
      <c r="P133"/>
      <c r="Q133"/>
    </row>
    <row r="134" spans="1:20" s="332" customFormat="1" ht="24.75" customHeight="1" x14ac:dyDescent="0.3">
      <c r="A134" s="300">
        <v>13</v>
      </c>
      <c r="B134" s="301" t="s">
        <v>346</v>
      </c>
      <c r="C134" s="328" t="s">
        <v>229</v>
      </c>
      <c r="D134" s="515"/>
      <c r="E134" s="516">
        <v>50</v>
      </c>
      <c r="F134" s="517"/>
      <c r="G134" s="517"/>
      <c r="H134" s="517"/>
      <c r="I134" s="517"/>
      <c r="J134" s="517"/>
      <c r="K134" s="517"/>
      <c r="L134" s="518"/>
      <c r="M134" s="329" t="s">
        <v>347</v>
      </c>
      <c r="N134" s="330"/>
      <c r="O134" s="330"/>
      <c r="P134" s="331"/>
      <c r="Q134" s="331"/>
      <c r="T134" s="333"/>
    </row>
    <row r="135" spans="1:20" s="332" customFormat="1" x14ac:dyDescent="0.3">
      <c r="A135" s="334"/>
      <c r="B135" s="335" t="s">
        <v>5</v>
      </c>
      <c r="C135" s="336" t="s">
        <v>9</v>
      </c>
      <c r="D135" s="519">
        <v>13</v>
      </c>
      <c r="E135" s="520"/>
      <c r="F135" s="521"/>
      <c r="G135" s="521"/>
      <c r="H135" s="521"/>
      <c r="I135" s="521"/>
      <c r="J135" s="521"/>
      <c r="K135" s="521"/>
      <c r="L135" s="522"/>
      <c r="M135" s="337"/>
      <c r="N135" s="330"/>
      <c r="O135" s="331"/>
      <c r="P135" s="331"/>
      <c r="Q135" s="331"/>
      <c r="T135" s="333"/>
    </row>
    <row r="136" spans="1:20" s="332" customFormat="1" x14ac:dyDescent="0.3">
      <c r="A136" s="338"/>
      <c r="B136" s="335" t="s">
        <v>348</v>
      </c>
      <c r="C136" s="339" t="s">
        <v>15</v>
      </c>
      <c r="D136" s="519">
        <v>1</v>
      </c>
      <c r="E136" s="523"/>
      <c r="F136" s="524"/>
      <c r="G136" s="524"/>
      <c r="H136" s="524"/>
      <c r="I136" s="524"/>
      <c r="J136" s="524"/>
      <c r="K136" s="524"/>
      <c r="L136" s="525"/>
      <c r="M136" s="337"/>
      <c r="N136" s="340"/>
      <c r="O136" s="331"/>
      <c r="P136" s="340"/>
      <c r="Q136" s="331"/>
      <c r="T136" s="333"/>
    </row>
    <row r="137" spans="1:20" s="332" customFormat="1" x14ac:dyDescent="0.3">
      <c r="A137" s="334"/>
      <c r="B137" s="341" t="s">
        <v>349</v>
      </c>
      <c r="C137" s="336" t="s">
        <v>350</v>
      </c>
      <c r="D137" s="519">
        <f>0.2*1.1</f>
        <v>0.22000000000000003</v>
      </c>
      <c r="E137" s="520"/>
      <c r="F137" s="521"/>
      <c r="G137" s="521"/>
      <c r="H137" s="521"/>
      <c r="I137" s="521"/>
      <c r="J137" s="521"/>
      <c r="K137" s="521"/>
      <c r="L137" s="522"/>
      <c r="M137" s="337"/>
      <c r="N137" s="330"/>
      <c r="O137" s="331"/>
      <c r="P137" s="331"/>
      <c r="Q137" s="331"/>
      <c r="T137" s="333"/>
    </row>
    <row r="138" spans="1:20" s="343" customFormat="1" x14ac:dyDescent="0.3">
      <c r="A138" s="334"/>
      <c r="B138" s="341" t="s">
        <v>138</v>
      </c>
      <c r="C138" s="336" t="s">
        <v>228</v>
      </c>
      <c r="D138" s="526">
        <v>0.31900000000000001</v>
      </c>
      <c r="E138" s="520"/>
      <c r="F138" s="521"/>
      <c r="G138" s="521"/>
      <c r="H138" s="521"/>
      <c r="I138" s="521"/>
      <c r="J138" s="521"/>
      <c r="K138" s="521"/>
      <c r="L138" s="522"/>
      <c r="M138" s="342"/>
      <c r="N138" s="342"/>
      <c r="T138" s="333"/>
    </row>
    <row r="139" spans="1:20" s="343" customFormat="1" x14ac:dyDescent="0.3">
      <c r="A139" s="334"/>
      <c r="B139" s="341" t="s">
        <v>122</v>
      </c>
      <c r="C139" s="336" t="s">
        <v>350</v>
      </c>
      <c r="D139" s="526">
        <v>1.21</v>
      </c>
      <c r="E139" s="520"/>
      <c r="F139" s="521"/>
      <c r="G139" s="521"/>
      <c r="H139" s="521"/>
      <c r="I139" s="521"/>
      <c r="J139" s="521"/>
      <c r="K139" s="521"/>
      <c r="L139" s="522"/>
      <c r="M139" s="342"/>
      <c r="N139" s="342"/>
      <c r="T139" s="333"/>
    </row>
    <row r="140" spans="1:20" s="332" customFormat="1" x14ac:dyDescent="0.3">
      <c r="A140" s="334"/>
      <c r="B140" s="341" t="s">
        <v>351</v>
      </c>
      <c r="C140" s="336" t="s">
        <v>9</v>
      </c>
      <c r="D140" s="519">
        <v>13</v>
      </c>
      <c r="E140" s="520"/>
      <c r="F140" s="521"/>
      <c r="G140" s="521"/>
      <c r="H140" s="521"/>
      <c r="I140" s="521"/>
      <c r="J140" s="521"/>
      <c r="K140" s="521"/>
      <c r="L140" s="522"/>
      <c r="M140" s="337"/>
      <c r="N140" s="330"/>
      <c r="O140" s="331"/>
      <c r="P140" s="331"/>
      <c r="Q140" s="331"/>
      <c r="T140" s="333"/>
    </row>
    <row r="141" spans="1:20" s="332" customFormat="1" x14ac:dyDescent="0.3">
      <c r="A141" s="344"/>
      <c r="B141" s="341" t="s">
        <v>316</v>
      </c>
      <c r="C141" s="336" t="s">
        <v>228</v>
      </c>
      <c r="E141" s="520"/>
      <c r="F141" s="521"/>
      <c r="G141" s="521"/>
      <c r="H141" s="521"/>
      <c r="I141" s="521"/>
      <c r="J141" s="521"/>
      <c r="K141" s="521"/>
      <c r="L141" s="522"/>
      <c r="M141" s="337"/>
      <c r="N141" s="331"/>
      <c r="O141" s="330"/>
      <c r="P141" s="331"/>
      <c r="Q141" s="331"/>
      <c r="T141" s="333"/>
    </row>
    <row r="142" spans="1:20" s="332" customFormat="1" ht="15" thickBot="1" x14ac:dyDescent="0.35">
      <c r="A142" s="345"/>
      <c r="B142" s="346" t="s">
        <v>230</v>
      </c>
      <c r="C142" s="347" t="s">
        <v>15</v>
      </c>
      <c r="D142" s="527">
        <v>1</v>
      </c>
      <c r="E142" s="528"/>
      <c r="F142" s="529"/>
      <c r="G142" s="529"/>
      <c r="H142" s="529"/>
      <c r="I142" s="529"/>
      <c r="J142" s="529"/>
      <c r="K142" s="529"/>
      <c r="L142" s="530"/>
      <c r="M142" s="337"/>
      <c r="N142" s="331"/>
      <c r="O142" s="331"/>
      <c r="P142" s="331"/>
      <c r="Q142" s="331"/>
      <c r="T142" s="333"/>
    </row>
    <row r="143" spans="1:20" s="332" customFormat="1" ht="27.6" x14ac:dyDescent="0.3">
      <c r="A143" s="348">
        <v>14</v>
      </c>
      <c r="B143" s="349" t="s">
        <v>352</v>
      </c>
      <c r="C143" s="350" t="s">
        <v>229</v>
      </c>
      <c r="D143" s="531"/>
      <c r="E143" s="532">
        <v>50</v>
      </c>
      <c r="F143" s="533"/>
      <c r="G143" s="533"/>
      <c r="H143" s="533"/>
      <c r="I143" s="533"/>
      <c r="J143" s="533"/>
      <c r="K143" s="533"/>
      <c r="L143" s="534"/>
      <c r="M143" s="337" t="s">
        <v>347</v>
      </c>
      <c r="N143" s="330"/>
      <c r="O143" s="330"/>
      <c r="P143" s="331"/>
      <c r="Q143" s="331"/>
      <c r="T143" s="333"/>
    </row>
    <row r="144" spans="1:20" s="332" customFormat="1" x14ac:dyDescent="0.3">
      <c r="A144" s="334"/>
      <c r="B144" s="335" t="s">
        <v>5</v>
      </c>
      <c r="C144" s="336" t="s">
        <v>9</v>
      </c>
      <c r="D144" s="519">
        <v>13</v>
      </c>
      <c r="E144" s="520"/>
      <c r="F144" s="521"/>
      <c r="G144" s="521"/>
      <c r="H144" s="521"/>
      <c r="I144" s="521"/>
      <c r="J144" s="521"/>
      <c r="K144" s="521"/>
      <c r="L144" s="522"/>
      <c r="M144" s="337"/>
      <c r="N144" s="330"/>
      <c r="O144" s="331"/>
      <c r="P144" s="331"/>
      <c r="Q144" s="331"/>
      <c r="T144" s="333"/>
    </row>
    <row r="145" spans="1:20" s="332" customFormat="1" x14ac:dyDescent="0.3">
      <c r="A145" s="338"/>
      <c r="B145" s="335" t="s">
        <v>348</v>
      </c>
      <c r="C145" s="339" t="s">
        <v>15</v>
      </c>
      <c r="D145" s="519">
        <v>1</v>
      </c>
      <c r="E145" s="523"/>
      <c r="F145" s="524"/>
      <c r="G145" s="524"/>
      <c r="H145" s="524"/>
      <c r="I145" s="524"/>
      <c r="J145" s="524"/>
      <c r="K145" s="524"/>
      <c r="L145" s="525"/>
      <c r="M145" s="337"/>
      <c r="N145" s="340"/>
      <c r="O145" s="331"/>
      <c r="P145" s="340"/>
      <c r="Q145" s="331"/>
      <c r="T145" s="333"/>
    </row>
    <row r="146" spans="1:20" s="332" customFormat="1" x14ac:dyDescent="0.3">
      <c r="A146" s="334"/>
      <c r="B146" s="341" t="s">
        <v>349</v>
      </c>
      <c r="C146" s="336" t="s">
        <v>350</v>
      </c>
      <c r="D146" s="520">
        <f>0.15*0.11</f>
        <v>1.6500000000000001E-2</v>
      </c>
      <c r="E146" s="520"/>
      <c r="F146" s="521"/>
      <c r="G146" s="521"/>
      <c r="H146" s="521"/>
      <c r="I146" s="521"/>
      <c r="J146" s="521"/>
      <c r="K146" s="521"/>
      <c r="L146" s="522"/>
      <c r="M146" s="337"/>
      <c r="N146" s="330"/>
      <c r="O146" s="331"/>
      <c r="P146" s="331"/>
      <c r="Q146" s="331"/>
      <c r="T146" s="333"/>
    </row>
    <row r="147" spans="1:20" s="343" customFormat="1" x14ac:dyDescent="0.3">
      <c r="A147" s="334"/>
      <c r="B147" s="341" t="s">
        <v>138</v>
      </c>
      <c r="C147" s="336" t="s">
        <v>228</v>
      </c>
      <c r="D147" s="526">
        <v>0.31900000000000001</v>
      </c>
      <c r="E147" s="520"/>
      <c r="F147" s="351"/>
      <c r="G147" s="521"/>
      <c r="H147" s="521"/>
      <c r="I147" s="521"/>
      <c r="J147" s="521"/>
      <c r="K147" s="521"/>
      <c r="L147" s="522"/>
      <c r="M147" s="342"/>
      <c r="N147" s="342"/>
      <c r="T147" s="333"/>
    </row>
    <row r="148" spans="1:20" s="343" customFormat="1" x14ac:dyDescent="0.3">
      <c r="A148" s="334"/>
      <c r="B148" s="341" t="s">
        <v>122</v>
      </c>
      <c r="C148" s="336" t="s">
        <v>350</v>
      </c>
      <c r="D148" s="526">
        <v>1.21</v>
      </c>
      <c r="E148" s="520"/>
      <c r="F148" s="351"/>
      <c r="G148" s="521"/>
      <c r="H148" s="521"/>
      <c r="I148" s="521"/>
      <c r="J148" s="521"/>
      <c r="K148" s="521"/>
      <c r="L148" s="522"/>
      <c r="M148" s="342"/>
      <c r="N148" s="342"/>
      <c r="T148" s="333"/>
    </row>
    <row r="149" spans="1:20" s="332" customFormat="1" x14ac:dyDescent="0.3">
      <c r="A149" s="334"/>
      <c r="B149" s="341" t="s">
        <v>353</v>
      </c>
      <c r="C149" s="336" t="s">
        <v>9</v>
      </c>
      <c r="D149" s="519">
        <v>13</v>
      </c>
      <c r="E149" s="520"/>
      <c r="F149" s="521"/>
      <c r="G149" s="521"/>
      <c r="H149" s="521"/>
      <c r="I149" s="521"/>
      <c r="J149" s="521"/>
      <c r="K149" s="521"/>
      <c r="L149" s="522"/>
      <c r="M149" s="337"/>
      <c r="N149" s="330"/>
      <c r="O149" s="331"/>
      <c r="P149" s="331"/>
      <c r="Q149" s="331"/>
      <c r="T149" s="333"/>
    </row>
    <row r="150" spans="1:20" s="332" customFormat="1" x14ac:dyDescent="0.3">
      <c r="A150" s="344"/>
      <c r="B150" s="341" t="s">
        <v>316</v>
      </c>
      <c r="C150" s="336" t="s">
        <v>228</v>
      </c>
      <c r="D150" s="519">
        <f>0.64/1000</f>
        <v>6.4000000000000005E-4</v>
      </c>
      <c r="E150" s="520"/>
      <c r="F150" s="521"/>
      <c r="G150" s="521"/>
      <c r="H150" s="521"/>
      <c r="I150" s="521"/>
      <c r="J150" s="521"/>
      <c r="K150" s="521"/>
      <c r="L150" s="522"/>
      <c r="M150" s="337"/>
      <c r="N150" s="331"/>
      <c r="O150" s="330"/>
      <c r="P150" s="331"/>
      <c r="Q150" s="331"/>
      <c r="T150" s="333"/>
    </row>
    <row r="151" spans="1:20" s="332" customFormat="1" ht="15" thickBot="1" x14ac:dyDescent="0.35">
      <c r="A151" s="352"/>
      <c r="B151" s="353" t="s">
        <v>230</v>
      </c>
      <c r="C151" s="354" t="s">
        <v>15</v>
      </c>
      <c r="D151" s="535">
        <v>1</v>
      </c>
      <c r="E151" s="536"/>
      <c r="F151" s="537"/>
      <c r="G151" s="537"/>
      <c r="H151" s="537"/>
      <c r="I151" s="537"/>
      <c r="J151" s="537"/>
      <c r="K151" s="537"/>
      <c r="L151" s="538"/>
      <c r="M151" s="337"/>
      <c r="N151" s="331"/>
      <c r="O151" s="331"/>
      <c r="P151" s="331"/>
      <c r="Q151" s="331"/>
      <c r="T151" s="333"/>
    </row>
    <row r="152" spans="1:20" s="332" customFormat="1" ht="27.6" x14ac:dyDescent="0.3">
      <c r="A152" s="300">
        <v>15</v>
      </c>
      <c r="B152" s="301" t="s">
        <v>354</v>
      </c>
      <c r="C152" s="328" t="s">
        <v>229</v>
      </c>
      <c r="D152" s="515"/>
      <c r="E152" s="516">
        <v>50</v>
      </c>
      <c r="F152" s="517"/>
      <c r="G152" s="517"/>
      <c r="H152" s="517"/>
      <c r="I152" s="517"/>
      <c r="J152" s="517"/>
      <c r="K152" s="517"/>
      <c r="L152" s="518"/>
      <c r="M152" s="337" t="s">
        <v>347</v>
      </c>
      <c r="N152" s="330"/>
      <c r="O152" s="330"/>
      <c r="P152" s="331"/>
      <c r="Q152" s="331"/>
      <c r="T152" s="333"/>
    </row>
    <row r="153" spans="1:20" s="332" customFormat="1" x14ac:dyDescent="0.3">
      <c r="A153" s="334"/>
      <c r="B153" s="335" t="s">
        <v>5</v>
      </c>
      <c r="C153" s="336" t="s">
        <v>9</v>
      </c>
      <c r="D153" s="519">
        <v>13</v>
      </c>
      <c r="E153" s="520"/>
      <c r="F153" s="521"/>
      <c r="G153" s="521"/>
      <c r="H153" s="521"/>
      <c r="I153" s="521"/>
      <c r="J153" s="521"/>
      <c r="K153" s="521"/>
      <c r="L153" s="522"/>
      <c r="M153" s="337"/>
      <c r="N153" s="330"/>
      <c r="O153" s="331"/>
      <c r="P153" s="331"/>
      <c r="Q153" s="331"/>
      <c r="T153" s="333"/>
    </row>
    <row r="154" spans="1:20" s="332" customFormat="1" x14ac:dyDescent="0.3">
      <c r="A154" s="338"/>
      <c r="B154" s="335" t="s">
        <v>348</v>
      </c>
      <c r="C154" s="339" t="s">
        <v>15</v>
      </c>
      <c r="D154" s="519">
        <v>1</v>
      </c>
      <c r="E154" s="523"/>
      <c r="F154" s="524"/>
      <c r="G154" s="524"/>
      <c r="H154" s="524"/>
      <c r="I154" s="524"/>
      <c r="J154" s="524"/>
      <c r="K154" s="524"/>
      <c r="L154" s="525"/>
      <c r="M154" s="337"/>
      <c r="N154" s="340"/>
      <c r="O154" s="331"/>
      <c r="P154" s="340"/>
      <c r="Q154" s="331"/>
      <c r="T154" s="333"/>
    </row>
    <row r="155" spans="1:20" s="332" customFormat="1" x14ac:dyDescent="0.3">
      <c r="A155" s="334"/>
      <c r="B155" s="341" t="s">
        <v>349</v>
      </c>
      <c r="C155" s="336" t="s">
        <v>350</v>
      </c>
      <c r="D155" s="519">
        <v>1.1000000000000001E-2</v>
      </c>
      <c r="E155" s="520"/>
      <c r="F155" s="521"/>
      <c r="G155" s="521"/>
      <c r="H155" s="521"/>
      <c r="I155" s="521"/>
      <c r="J155" s="521"/>
      <c r="K155" s="521"/>
      <c r="L155" s="522"/>
      <c r="M155" s="337"/>
      <c r="N155" s="330"/>
      <c r="O155" s="331"/>
      <c r="P155" s="331"/>
      <c r="Q155" s="331"/>
      <c r="T155" s="333"/>
    </row>
    <row r="156" spans="1:20" s="343" customFormat="1" x14ac:dyDescent="0.3">
      <c r="A156" s="334"/>
      <c r="B156" s="341" t="s">
        <v>138</v>
      </c>
      <c r="C156" s="336" t="s">
        <v>228</v>
      </c>
      <c r="D156" s="526">
        <v>0.31900000000000001</v>
      </c>
      <c r="E156" s="520"/>
      <c r="F156" s="521"/>
      <c r="G156" s="521"/>
      <c r="H156" s="521"/>
      <c r="I156" s="521"/>
      <c r="J156" s="521"/>
      <c r="K156" s="521"/>
      <c r="L156" s="522"/>
      <c r="M156" s="342"/>
      <c r="N156" s="342"/>
      <c r="T156" s="333"/>
    </row>
    <row r="157" spans="1:20" s="343" customFormat="1" x14ac:dyDescent="0.3">
      <c r="A157" s="334"/>
      <c r="B157" s="341" t="s">
        <v>122</v>
      </c>
      <c r="C157" s="336" t="s">
        <v>350</v>
      </c>
      <c r="D157" s="526">
        <v>1.21</v>
      </c>
      <c r="E157" s="520"/>
      <c r="F157" s="521"/>
      <c r="G157" s="521"/>
      <c r="H157" s="521"/>
      <c r="I157" s="521"/>
      <c r="J157" s="521"/>
      <c r="K157" s="521"/>
      <c r="L157" s="522"/>
      <c r="M157" s="342"/>
      <c r="N157" s="342"/>
      <c r="T157" s="333"/>
    </row>
    <row r="158" spans="1:20" s="332" customFormat="1" x14ac:dyDescent="0.3">
      <c r="A158" s="334"/>
      <c r="B158" s="341" t="s">
        <v>355</v>
      </c>
      <c r="C158" s="336" t="s">
        <v>9</v>
      </c>
      <c r="D158" s="519">
        <v>13</v>
      </c>
      <c r="E158" s="520"/>
      <c r="F158" s="521"/>
      <c r="G158" s="521"/>
      <c r="H158" s="521"/>
      <c r="I158" s="521"/>
      <c r="J158" s="521"/>
      <c r="K158" s="521"/>
      <c r="L158" s="522"/>
      <c r="M158" s="337"/>
      <c r="N158" s="330"/>
      <c r="O158" s="331"/>
      <c r="P158" s="331"/>
      <c r="Q158" s="331"/>
      <c r="T158" s="333"/>
    </row>
    <row r="159" spans="1:20" s="332" customFormat="1" x14ac:dyDescent="0.3">
      <c r="A159" s="344"/>
      <c r="B159" s="341" t="s">
        <v>316</v>
      </c>
      <c r="C159" s="336" t="s">
        <v>228</v>
      </c>
      <c r="D159" s="519">
        <f>0.58/1000</f>
        <v>5.8E-4</v>
      </c>
      <c r="E159" s="520"/>
      <c r="F159" s="521"/>
      <c r="G159" s="521"/>
      <c r="H159" s="521"/>
      <c r="I159" s="521"/>
      <c r="J159" s="521"/>
      <c r="K159" s="521"/>
      <c r="L159" s="522"/>
      <c r="M159" s="355"/>
      <c r="N159" s="331"/>
      <c r="O159" s="330"/>
      <c r="P159" s="331"/>
      <c r="Q159" s="331"/>
      <c r="T159" s="333"/>
    </row>
    <row r="160" spans="1:20" s="332" customFormat="1" ht="15" thickBot="1" x14ac:dyDescent="0.35">
      <c r="A160" s="345"/>
      <c r="B160" s="346" t="s">
        <v>230</v>
      </c>
      <c r="C160" s="347" t="s">
        <v>15</v>
      </c>
      <c r="D160" s="527">
        <v>1</v>
      </c>
      <c r="E160" s="528"/>
      <c r="F160" s="529"/>
      <c r="G160" s="529"/>
      <c r="H160" s="529"/>
      <c r="I160" s="529"/>
      <c r="J160" s="529"/>
      <c r="K160" s="529"/>
      <c r="L160" s="530"/>
      <c r="M160" s="355"/>
      <c r="N160" s="331"/>
      <c r="O160" s="331"/>
      <c r="P160" s="331"/>
      <c r="Q160" s="331"/>
      <c r="T160" s="333"/>
    </row>
    <row r="161" spans="1:12" ht="13.95" customHeight="1" thickBot="1" x14ac:dyDescent="0.35">
      <c r="A161" s="263"/>
      <c r="B161" s="264" t="s">
        <v>6</v>
      </c>
      <c r="C161" s="264"/>
      <c r="D161" s="539"/>
      <c r="E161" s="539"/>
      <c r="F161" s="539"/>
      <c r="G161" s="540">
        <f>SUM(G12:G160)</f>
        <v>0</v>
      </c>
      <c r="H161" s="540"/>
      <c r="I161" s="540">
        <f>SUM(I12:I160)</f>
        <v>0</v>
      </c>
      <c r="J161" s="540"/>
      <c r="K161" s="540">
        <f>SUM(K12:K160)</f>
        <v>0</v>
      </c>
      <c r="L161" s="540">
        <f>SUM(L12:L160)</f>
        <v>0</v>
      </c>
    </row>
    <row r="162" spans="1:12" x14ac:dyDescent="0.3">
      <c r="A162" s="256"/>
      <c r="B162" s="257" t="s">
        <v>128</v>
      </c>
      <c r="C162" s="258"/>
      <c r="D162" s="541"/>
      <c r="E162" s="541"/>
      <c r="F162" s="541"/>
      <c r="G162" s="541"/>
      <c r="H162" s="541"/>
      <c r="I162" s="541"/>
      <c r="J162" s="541"/>
      <c r="K162" s="541"/>
      <c r="L162" s="542">
        <f>L161*C162</f>
        <v>0</v>
      </c>
    </row>
    <row r="163" spans="1:12" x14ac:dyDescent="0.3">
      <c r="A163" s="259"/>
      <c r="B163" s="219" t="s">
        <v>6</v>
      </c>
      <c r="C163" s="60"/>
      <c r="D163" s="543"/>
      <c r="E163" s="543"/>
      <c r="F163" s="543"/>
      <c r="G163" s="543"/>
      <c r="H163" s="543"/>
      <c r="I163" s="543"/>
      <c r="J163" s="543"/>
      <c r="K163" s="543"/>
      <c r="L163" s="544">
        <f>L162+L161</f>
        <v>0</v>
      </c>
    </row>
    <row r="164" spans="1:12" x14ac:dyDescent="0.3">
      <c r="A164" s="259"/>
      <c r="B164" s="219" t="s">
        <v>154</v>
      </c>
      <c r="C164" s="18"/>
      <c r="D164" s="543"/>
      <c r="E164" s="543"/>
      <c r="F164" s="543"/>
      <c r="G164" s="543"/>
      <c r="H164" s="543"/>
      <c r="I164" s="543"/>
      <c r="J164" s="543"/>
      <c r="K164" s="543"/>
      <c r="L164" s="544">
        <f>L163*C164</f>
        <v>0</v>
      </c>
    </row>
    <row r="165" spans="1:12" x14ac:dyDescent="0.3">
      <c r="A165" s="259"/>
      <c r="B165" s="219" t="s">
        <v>6</v>
      </c>
      <c r="C165" s="18"/>
      <c r="D165" s="543"/>
      <c r="E165" s="543"/>
      <c r="F165" s="543"/>
      <c r="G165" s="543"/>
      <c r="H165" s="543"/>
      <c r="I165" s="543"/>
      <c r="J165" s="543"/>
      <c r="K165" s="543"/>
      <c r="L165" s="544">
        <f>L164+L163</f>
        <v>0</v>
      </c>
    </row>
    <row r="166" spans="1:12" x14ac:dyDescent="0.3">
      <c r="A166" s="259"/>
      <c r="B166" s="219" t="s">
        <v>17</v>
      </c>
      <c r="C166" s="18"/>
      <c r="D166" s="543"/>
      <c r="E166" s="543"/>
      <c r="F166" s="543"/>
      <c r="G166" s="543"/>
      <c r="H166" s="543"/>
      <c r="I166" s="543"/>
      <c r="J166" s="543"/>
      <c r="K166" s="543"/>
      <c r="L166" s="544">
        <f>C166*L165</f>
        <v>0</v>
      </c>
    </row>
    <row r="167" spans="1:12" x14ac:dyDescent="0.3">
      <c r="A167" s="259"/>
      <c r="B167" s="219" t="s">
        <v>6</v>
      </c>
      <c r="C167" s="18"/>
      <c r="D167" s="543"/>
      <c r="E167" s="543"/>
      <c r="F167" s="543"/>
      <c r="G167" s="543"/>
      <c r="H167" s="543"/>
      <c r="I167" s="543"/>
      <c r="J167" s="543"/>
      <c r="K167" s="543"/>
      <c r="L167" s="544">
        <f>L166+L165</f>
        <v>0</v>
      </c>
    </row>
    <row r="168" spans="1:12" x14ac:dyDescent="0.3">
      <c r="A168" s="259"/>
      <c r="B168" s="219" t="s">
        <v>18</v>
      </c>
      <c r="C168" s="18"/>
      <c r="D168" s="543"/>
      <c r="E168" s="543"/>
      <c r="F168" s="543"/>
      <c r="G168" s="543"/>
      <c r="H168" s="543"/>
      <c r="I168" s="543"/>
      <c r="J168" s="543"/>
      <c r="K168" s="543"/>
      <c r="L168" s="544">
        <f>L167*C168</f>
        <v>0</v>
      </c>
    </row>
    <row r="169" spans="1:12" x14ac:dyDescent="0.3">
      <c r="A169" s="259"/>
      <c r="B169" s="219" t="s">
        <v>6</v>
      </c>
      <c r="C169" s="29"/>
      <c r="D169" s="543"/>
      <c r="E169" s="543"/>
      <c r="F169" s="543"/>
      <c r="G169" s="543"/>
      <c r="H169" s="543"/>
      <c r="I169" s="543"/>
      <c r="J169" s="543"/>
      <c r="K169" s="543"/>
      <c r="L169" s="544">
        <f>L168+L167</f>
        <v>0</v>
      </c>
    </row>
    <row r="170" spans="1:12" ht="15" thickBot="1" x14ac:dyDescent="0.35">
      <c r="A170" s="260"/>
      <c r="B170" s="261" t="s">
        <v>19</v>
      </c>
      <c r="C170" s="262">
        <v>0.18</v>
      </c>
      <c r="D170" s="545"/>
      <c r="E170" s="545"/>
      <c r="F170" s="545"/>
      <c r="G170" s="545"/>
      <c r="H170" s="545"/>
      <c r="I170" s="545"/>
      <c r="J170" s="545"/>
      <c r="K170" s="545"/>
      <c r="L170" s="546">
        <f>L169*C170</f>
        <v>0</v>
      </c>
    </row>
    <row r="171" spans="1:12" ht="15" thickBot="1" x14ac:dyDescent="0.35">
      <c r="A171" s="263"/>
      <c r="B171" s="264" t="s">
        <v>6</v>
      </c>
      <c r="C171" s="264"/>
      <c r="D171" s="539"/>
      <c r="E171" s="539"/>
      <c r="F171" s="539"/>
      <c r="G171" s="539"/>
      <c r="H171" s="539"/>
      <c r="I171" s="539"/>
      <c r="J171" s="539"/>
      <c r="K171" s="539"/>
      <c r="L171" s="547">
        <f>L170+L169</f>
        <v>0</v>
      </c>
    </row>
    <row r="172" spans="1:12" x14ac:dyDescent="0.3">
      <c r="A172" s="639"/>
    </row>
    <row r="173" spans="1:12" x14ac:dyDescent="0.3">
      <c r="A173" s="639"/>
    </row>
    <row r="174" spans="1:12" x14ac:dyDescent="0.3">
      <c r="A174" s="639"/>
    </row>
    <row r="175" spans="1:12" x14ac:dyDescent="0.3">
      <c r="A175" s="255"/>
    </row>
  </sheetData>
  <autoFilter ref="A11:XFD171" xr:uid="{6E154EBB-FF11-468C-8F86-4C5FFEA0AA85}"/>
  <mergeCells count="19">
    <mergeCell ref="A7:B7"/>
    <mergeCell ref="K8:L8"/>
    <mergeCell ref="A9:A10"/>
    <mergeCell ref="B9:B10"/>
    <mergeCell ref="C9:C10"/>
    <mergeCell ref="D9:E9"/>
    <mergeCell ref="F9:G9"/>
    <mergeCell ref="A6:B6"/>
    <mergeCell ref="K6:L6"/>
    <mergeCell ref="A1:L1"/>
    <mergeCell ref="A2:L2"/>
    <mergeCell ref="A3:L3"/>
    <mergeCell ref="H5:J5"/>
    <mergeCell ref="K5:L5"/>
    <mergeCell ref="H9:I9"/>
    <mergeCell ref="J9:K9"/>
    <mergeCell ref="L9:L10"/>
    <mergeCell ref="A127:A128"/>
    <mergeCell ref="B127:B12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8A31B-F7E3-4FD9-8D41-2CDEC7E4FA3C}">
  <sheetPr>
    <tabColor rgb="FF00B050"/>
  </sheetPr>
  <dimension ref="A2:XFD528"/>
  <sheetViews>
    <sheetView topLeftCell="A497" zoomScale="85" zoomScaleNormal="85" workbookViewId="0">
      <selection activeCell="D531" sqref="D531"/>
    </sheetView>
  </sheetViews>
  <sheetFormatPr defaultRowHeight="14.4" x14ac:dyDescent="0.3"/>
  <cols>
    <col min="2" max="2" width="41.33203125" customWidth="1"/>
    <col min="4" max="4" width="10.44140625" bestFit="1" customWidth="1"/>
    <col min="5" max="5" width="10" customWidth="1"/>
    <col min="6" max="6" width="9.109375" style="658"/>
    <col min="7" max="7" width="10.88671875" customWidth="1"/>
    <col min="9" max="9" width="15.33203125" customWidth="1"/>
    <col min="11" max="11" width="11.88671875" customWidth="1"/>
    <col min="12" max="12" width="16.109375" customWidth="1"/>
    <col min="13" max="13" width="25" customWidth="1"/>
    <col min="15" max="15" width="14.109375" customWidth="1"/>
  </cols>
  <sheetData>
    <row r="2" spans="1:14" s="1" customFormat="1" ht="15.6" x14ac:dyDescent="0.3">
      <c r="A2" s="676" t="s">
        <v>239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</row>
    <row r="3" spans="1:14" s="1" customFormat="1" ht="15.6" x14ac:dyDescent="0.3">
      <c r="A3" s="676" t="s">
        <v>146</v>
      </c>
      <c r="B3" s="676"/>
      <c r="C3" s="676"/>
      <c r="D3" s="676"/>
      <c r="E3" s="676"/>
      <c r="F3" s="676"/>
      <c r="G3" s="676"/>
      <c r="H3" s="676"/>
      <c r="I3" s="676"/>
      <c r="J3" s="676"/>
      <c r="K3" s="676"/>
      <c r="L3" s="676"/>
      <c r="N3" s="1">
        <f>49.6+23.4+38.98+600.9+11.1+8.3+5+8.4</f>
        <v>745.68</v>
      </c>
    </row>
    <row r="4" spans="1:14" s="1" customFormat="1" x14ac:dyDescent="0.3">
      <c r="A4" s="677"/>
      <c r="B4" s="677"/>
      <c r="C4" s="677"/>
      <c r="D4" s="677"/>
      <c r="E4" s="678"/>
      <c r="F4" s="677"/>
      <c r="G4" s="677"/>
      <c r="H4" s="677"/>
      <c r="I4" s="677"/>
      <c r="J4" s="677"/>
      <c r="K4" s="677"/>
      <c r="L4" s="677"/>
    </row>
    <row r="5" spans="1:14" s="6" customFormat="1" thickBot="1" x14ac:dyDescent="0.35">
      <c r="A5" s="2"/>
      <c r="B5" s="3"/>
      <c r="C5" s="2"/>
      <c r="D5" s="4"/>
      <c r="E5" s="89"/>
      <c r="F5" s="2"/>
      <c r="G5" s="5"/>
      <c r="H5" s="5"/>
      <c r="I5" s="5"/>
      <c r="J5" s="5"/>
      <c r="K5" s="5"/>
      <c r="L5" s="5"/>
    </row>
    <row r="6" spans="1:14" s="6" customFormat="1" thickBot="1" x14ac:dyDescent="0.35">
      <c r="A6" s="7"/>
      <c r="B6" s="7"/>
      <c r="C6" s="7"/>
      <c r="D6" s="7"/>
      <c r="E6" s="90"/>
      <c r="F6" s="2"/>
      <c r="G6" s="5"/>
      <c r="H6" s="679" t="s">
        <v>0</v>
      </c>
      <c r="I6" s="679"/>
      <c r="J6" s="679"/>
      <c r="K6" s="674">
        <f>'იატაკი '!L528</f>
        <v>0</v>
      </c>
      <c r="L6" s="675"/>
    </row>
    <row r="7" spans="1:14" s="6" customFormat="1" thickBot="1" x14ac:dyDescent="0.35">
      <c r="A7" s="682"/>
      <c r="B7" s="682"/>
      <c r="C7" s="8"/>
      <c r="D7" s="9"/>
      <c r="E7" s="89"/>
      <c r="F7" s="2"/>
      <c r="G7" s="5"/>
      <c r="H7" s="5"/>
      <c r="I7" s="5"/>
      <c r="J7" s="5"/>
      <c r="K7" s="683">
        <f>K6/K9</f>
        <v>0</v>
      </c>
      <c r="L7" s="684"/>
    </row>
    <row r="8" spans="1:14" s="6" customFormat="1" ht="13.8" x14ac:dyDescent="0.3">
      <c r="A8" s="682"/>
      <c r="B8" s="682"/>
      <c r="C8" s="2"/>
      <c r="D8" s="4"/>
      <c r="E8" s="89"/>
      <c r="F8" s="2"/>
      <c r="G8" s="5"/>
      <c r="H8" s="5"/>
      <c r="I8" s="5"/>
      <c r="J8" s="5"/>
      <c r="K8" s="5"/>
      <c r="L8" s="5"/>
    </row>
    <row r="9" spans="1:14" s="6" customFormat="1" thickBot="1" x14ac:dyDescent="0.35">
      <c r="A9" s="2"/>
      <c r="B9" s="3"/>
      <c r="C9" s="2"/>
      <c r="D9" s="4"/>
      <c r="E9" s="89"/>
      <c r="F9" s="2"/>
      <c r="G9" s="5"/>
      <c r="H9" s="5"/>
      <c r="I9" s="5"/>
      <c r="J9" s="5" t="s">
        <v>1</v>
      </c>
      <c r="K9" s="685">
        <v>2.62</v>
      </c>
      <c r="L9" s="685"/>
    </row>
    <row r="10" spans="1:14" s="101" customFormat="1" ht="33.75" customHeight="1" x14ac:dyDescent="0.3">
      <c r="A10" s="686" t="s">
        <v>20</v>
      </c>
      <c r="B10" s="691" t="s">
        <v>21</v>
      </c>
      <c r="C10" s="691" t="s">
        <v>22</v>
      </c>
      <c r="D10" s="691" t="s">
        <v>23</v>
      </c>
      <c r="E10" s="691"/>
      <c r="F10" s="688" t="s">
        <v>4</v>
      </c>
      <c r="G10" s="688"/>
      <c r="H10" s="688" t="s">
        <v>5</v>
      </c>
      <c r="I10" s="688"/>
      <c r="J10" s="688" t="s">
        <v>24</v>
      </c>
      <c r="K10" s="688"/>
      <c r="L10" s="689" t="s">
        <v>6</v>
      </c>
      <c r="M10" s="41"/>
      <c r="N10" s="41"/>
    </row>
    <row r="11" spans="1:14" s="101" customFormat="1" ht="51.75" customHeight="1" x14ac:dyDescent="0.3">
      <c r="A11" s="687"/>
      <c r="B11" s="692"/>
      <c r="C11" s="692"/>
      <c r="D11" s="81" t="s">
        <v>25</v>
      </c>
      <c r="E11" s="81" t="s">
        <v>3</v>
      </c>
      <c r="F11" s="435" t="s">
        <v>26</v>
      </c>
      <c r="G11" s="81" t="s">
        <v>6</v>
      </c>
      <c r="H11" s="81" t="s">
        <v>26</v>
      </c>
      <c r="I11" s="81" t="s">
        <v>6</v>
      </c>
      <c r="J11" s="81" t="s">
        <v>26</v>
      </c>
      <c r="K11" s="81" t="s">
        <v>6</v>
      </c>
      <c r="L11" s="690"/>
      <c r="M11" s="41"/>
      <c r="N11" s="41"/>
    </row>
    <row r="12" spans="1:14" s="48" customFormat="1" ht="13.95" customHeight="1" thickBot="1" x14ac:dyDescent="0.35">
      <c r="A12" s="42">
        <v>1</v>
      </c>
      <c r="B12" s="43">
        <v>2</v>
      </c>
      <c r="C12" s="43">
        <v>3</v>
      </c>
      <c r="D12" s="43">
        <v>4</v>
      </c>
      <c r="E12" s="127">
        <v>5</v>
      </c>
      <c r="F12" s="648">
        <v>6</v>
      </c>
      <c r="G12" s="129">
        <v>7</v>
      </c>
      <c r="H12" s="129">
        <v>8</v>
      </c>
      <c r="I12" s="129">
        <v>9</v>
      </c>
      <c r="J12" s="129">
        <v>10</v>
      </c>
      <c r="K12" s="129">
        <v>11</v>
      </c>
      <c r="L12" s="130">
        <v>12</v>
      </c>
    </row>
    <row r="13" spans="1:14" s="69" customFormat="1" ht="27.6" customHeight="1" x14ac:dyDescent="0.3">
      <c r="A13" s="555">
        <v>1</v>
      </c>
      <c r="B13" s="137" t="s">
        <v>487</v>
      </c>
      <c r="C13" s="134" t="s">
        <v>33</v>
      </c>
      <c r="D13" s="134"/>
      <c r="E13" s="138">
        <f>8.3+5</f>
        <v>13.3</v>
      </c>
      <c r="F13" s="312"/>
      <c r="G13" s="138"/>
      <c r="H13" s="138"/>
      <c r="I13" s="138"/>
      <c r="J13" s="138"/>
      <c r="K13" s="138"/>
      <c r="L13" s="139"/>
    </row>
    <row r="14" spans="1:14" s="69" customFormat="1" ht="13.95" customHeight="1" x14ac:dyDescent="0.3">
      <c r="A14" s="247"/>
      <c r="B14" s="24" t="s">
        <v>8</v>
      </c>
      <c r="C14" s="79" t="s">
        <v>33</v>
      </c>
      <c r="D14" s="79">
        <v>1</v>
      </c>
      <c r="E14" s="58"/>
      <c r="F14" s="297"/>
      <c r="G14" s="58"/>
      <c r="H14" s="58"/>
      <c r="I14" s="58"/>
      <c r="J14" s="58"/>
      <c r="K14" s="58"/>
      <c r="L14" s="57"/>
    </row>
    <row r="15" spans="1:14" s="69" customFormat="1" ht="13.95" customHeight="1" x14ac:dyDescent="0.3">
      <c r="A15" s="247"/>
      <c r="B15" s="24" t="s">
        <v>12</v>
      </c>
      <c r="C15" s="79"/>
      <c r="D15" s="79"/>
      <c r="E15" s="58"/>
      <c r="F15" s="297"/>
      <c r="G15" s="58"/>
      <c r="H15" s="58"/>
      <c r="I15" s="58"/>
      <c r="J15" s="58"/>
      <c r="K15" s="58"/>
      <c r="L15" s="57"/>
    </row>
    <row r="16" spans="1:14" s="102" customFormat="1" ht="13.95" customHeight="1" x14ac:dyDescent="0.3">
      <c r="A16" s="247"/>
      <c r="B16" s="24" t="s">
        <v>273</v>
      </c>
      <c r="C16" s="79" t="s">
        <v>27</v>
      </c>
      <c r="D16" s="218">
        <f>0.147*1.02</f>
        <v>0.14993999999999999</v>
      </c>
      <c r="E16" s="58"/>
      <c r="F16" s="297"/>
      <c r="G16" s="58"/>
      <c r="H16" s="58"/>
      <c r="I16" s="58"/>
      <c r="J16" s="58"/>
      <c r="K16" s="58"/>
      <c r="L16" s="57"/>
      <c r="M16" s="69"/>
      <c r="N16" s="69"/>
    </row>
    <row r="17" spans="1:17" s="102" customFormat="1" ht="13.95" customHeight="1" x14ac:dyDescent="0.3">
      <c r="A17" s="247"/>
      <c r="B17" s="24" t="s">
        <v>470</v>
      </c>
      <c r="C17" s="79" t="s">
        <v>33</v>
      </c>
      <c r="D17" s="218">
        <v>1.02</v>
      </c>
      <c r="E17" s="58"/>
      <c r="F17" s="297"/>
      <c r="G17" s="58"/>
      <c r="H17" s="58"/>
      <c r="I17" s="58"/>
      <c r="J17" s="58"/>
      <c r="K17" s="58"/>
      <c r="L17" s="57"/>
      <c r="M17" s="69"/>
      <c r="N17" s="69"/>
    </row>
    <row r="18" spans="1:17" s="69" customFormat="1" ht="13.95" customHeight="1" thickBot="1" x14ac:dyDescent="0.35">
      <c r="A18" s="279"/>
      <c r="B18" s="98" t="s">
        <v>29</v>
      </c>
      <c r="C18" s="141" t="s">
        <v>27</v>
      </c>
      <c r="D18" s="141">
        <v>0.2</v>
      </c>
      <c r="E18" s="142"/>
      <c r="F18" s="313"/>
      <c r="G18" s="142"/>
      <c r="H18" s="142"/>
      <c r="I18" s="142"/>
      <c r="J18" s="142"/>
      <c r="K18" s="142"/>
      <c r="L18" s="144"/>
    </row>
    <row r="19" spans="1:17" s="69" customFormat="1" ht="35.4" customHeight="1" thickBot="1" x14ac:dyDescent="0.35">
      <c r="A19" s="554"/>
      <c r="B19" s="197" t="s">
        <v>218</v>
      </c>
      <c r="C19" s="175"/>
      <c r="D19" s="175"/>
      <c r="E19" s="176"/>
      <c r="F19" s="626"/>
      <c r="G19" s="177"/>
      <c r="H19" s="176"/>
      <c r="I19" s="176"/>
      <c r="J19" s="176"/>
      <c r="K19" s="176"/>
      <c r="L19" s="178"/>
    </row>
    <row r="20" spans="1:17" s="184" customFormat="1" ht="32.25" customHeight="1" x14ac:dyDescent="0.3">
      <c r="A20" s="119">
        <v>1</v>
      </c>
      <c r="B20" s="270" t="s">
        <v>281</v>
      </c>
      <c r="C20" s="186" t="s">
        <v>33</v>
      </c>
      <c r="D20" s="187"/>
      <c r="E20" s="377">
        <v>79.5</v>
      </c>
      <c r="F20" s="163"/>
      <c r="G20" s="163"/>
      <c r="H20" s="163"/>
      <c r="I20" s="163"/>
      <c r="J20" s="163"/>
      <c r="K20" s="163"/>
      <c r="L20" s="164"/>
      <c r="M20"/>
      <c r="N20" s="96"/>
      <c r="O20"/>
      <c r="P20"/>
      <c r="Q20"/>
    </row>
    <row r="21" spans="1:17" s="184" customFormat="1" x14ac:dyDescent="0.3">
      <c r="A21" s="556"/>
      <c r="B21" s="24" t="s">
        <v>8</v>
      </c>
      <c r="C21" s="121" t="s">
        <v>33</v>
      </c>
      <c r="D21" s="122">
        <v>1</v>
      </c>
      <c r="E21" s="122"/>
      <c r="F21" s="166"/>
      <c r="G21" s="165"/>
      <c r="H21" s="58"/>
      <c r="I21" s="165"/>
      <c r="J21" s="165"/>
      <c r="K21" s="165"/>
      <c r="L21" s="160"/>
      <c r="M21"/>
      <c r="N21"/>
      <c r="O21"/>
      <c r="P21"/>
      <c r="Q21"/>
    </row>
    <row r="22" spans="1:17" s="184" customFormat="1" x14ac:dyDescent="0.3">
      <c r="A22" s="556"/>
      <c r="B22" s="24" t="s">
        <v>10</v>
      </c>
      <c r="C22" s="121" t="s">
        <v>15</v>
      </c>
      <c r="D22" s="122">
        <v>1</v>
      </c>
      <c r="E22" s="122"/>
      <c r="F22" s="166"/>
      <c r="G22" s="165"/>
      <c r="H22" s="165"/>
      <c r="I22" s="165"/>
      <c r="J22" s="58"/>
      <c r="K22" s="165"/>
      <c r="L22" s="160"/>
      <c r="M22"/>
      <c r="N22"/>
      <c r="O22"/>
      <c r="P22"/>
      <c r="Q22"/>
    </row>
    <row r="23" spans="1:17" s="184" customFormat="1" x14ac:dyDescent="0.3">
      <c r="A23" s="556"/>
      <c r="B23" s="24" t="s">
        <v>12</v>
      </c>
      <c r="C23" s="121"/>
      <c r="D23" s="122"/>
      <c r="E23" s="122"/>
      <c r="F23" s="166"/>
      <c r="G23" s="165"/>
      <c r="H23" s="165"/>
      <c r="I23" s="165"/>
      <c r="J23" s="165"/>
      <c r="K23" s="165"/>
      <c r="L23" s="160"/>
      <c r="M23"/>
      <c r="N23"/>
      <c r="O23"/>
      <c r="P23"/>
      <c r="Q23"/>
    </row>
    <row r="24" spans="1:17" s="184" customFormat="1" x14ac:dyDescent="0.3">
      <c r="A24" s="556"/>
      <c r="B24" s="24" t="s">
        <v>269</v>
      </c>
      <c r="C24" s="121" t="s">
        <v>27</v>
      </c>
      <c r="D24" s="79">
        <f>(2.04+0.51*7)/100</f>
        <v>5.6100000000000004E-2</v>
      </c>
      <c r="E24" s="122"/>
      <c r="F24" s="649"/>
      <c r="G24" s="166"/>
      <c r="H24" s="165"/>
      <c r="I24" s="165"/>
      <c r="J24" s="165"/>
      <c r="K24" s="165"/>
      <c r="L24" s="160"/>
      <c r="M24"/>
      <c r="N24"/>
      <c r="O24"/>
      <c r="P24"/>
      <c r="Q24"/>
    </row>
    <row r="25" spans="1:17" s="184" customFormat="1" x14ac:dyDescent="0.3">
      <c r="A25" s="557"/>
      <c r="B25" s="24" t="s">
        <v>122</v>
      </c>
      <c r="C25" s="273" t="s">
        <v>27</v>
      </c>
      <c r="D25" s="79">
        <f>0.056*1.23</f>
        <v>6.8879999999999997E-2</v>
      </c>
      <c r="E25" s="274"/>
      <c r="F25" s="297"/>
      <c r="G25" s="166"/>
      <c r="H25" s="201"/>
      <c r="I25" s="201"/>
      <c r="J25" s="201"/>
      <c r="K25" s="201"/>
      <c r="L25" s="160"/>
      <c r="M25"/>
      <c r="N25"/>
      <c r="O25"/>
      <c r="P25"/>
      <c r="Q25"/>
    </row>
    <row r="26" spans="1:17" s="184" customFormat="1" x14ac:dyDescent="0.3">
      <c r="A26" s="557"/>
      <c r="B26" s="24" t="s">
        <v>138</v>
      </c>
      <c r="C26" s="273" t="s">
        <v>228</v>
      </c>
      <c r="D26" s="79">
        <f>0.056*0.306</f>
        <v>1.7135999999999998E-2</v>
      </c>
      <c r="E26" s="274"/>
      <c r="F26" s="297"/>
      <c r="G26" s="166"/>
      <c r="H26" s="201"/>
      <c r="I26" s="201"/>
      <c r="J26" s="201"/>
      <c r="K26" s="201"/>
      <c r="L26" s="160"/>
      <c r="M26"/>
      <c r="N26"/>
      <c r="O26"/>
      <c r="P26"/>
      <c r="Q26"/>
    </row>
    <row r="27" spans="1:17" s="69" customFormat="1" ht="13.8" x14ac:dyDescent="0.3">
      <c r="A27" s="408"/>
      <c r="B27" s="24" t="s">
        <v>470</v>
      </c>
      <c r="C27" s="79" t="s">
        <v>33</v>
      </c>
      <c r="D27" s="79">
        <v>1.03</v>
      </c>
      <c r="E27" s="58"/>
      <c r="F27" s="297"/>
      <c r="G27" s="56"/>
      <c r="H27" s="58"/>
      <c r="I27" s="58"/>
      <c r="J27" s="58"/>
      <c r="K27" s="58"/>
      <c r="L27" s="57"/>
    </row>
    <row r="28" spans="1:17" s="184" customFormat="1" ht="15" thickBot="1" x14ac:dyDescent="0.35">
      <c r="A28" s="558"/>
      <c r="B28" s="24" t="s">
        <v>14</v>
      </c>
      <c r="C28" s="124" t="s">
        <v>15</v>
      </c>
      <c r="D28" s="125">
        <v>1</v>
      </c>
      <c r="E28" s="125"/>
      <c r="F28" s="297"/>
      <c r="G28" s="166"/>
      <c r="H28" s="170"/>
      <c r="I28" s="170"/>
      <c r="J28" s="170"/>
      <c r="K28" s="170"/>
      <c r="L28" s="160"/>
      <c r="M28"/>
      <c r="N28"/>
      <c r="O28"/>
      <c r="P28"/>
      <c r="Q28"/>
    </row>
    <row r="29" spans="1:17" s="69" customFormat="1" ht="19.5" customHeight="1" x14ac:dyDescent="0.3">
      <c r="A29" s="97">
        <v>2</v>
      </c>
      <c r="B29" s="137" t="s">
        <v>483</v>
      </c>
      <c r="C29" s="134" t="s">
        <v>33</v>
      </c>
      <c r="D29" s="134"/>
      <c r="E29" s="138">
        <f>E20</f>
        <v>79.5</v>
      </c>
      <c r="F29" s="312"/>
      <c r="G29" s="138"/>
      <c r="H29" s="138"/>
      <c r="I29" s="138"/>
      <c r="J29" s="138"/>
      <c r="K29" s="138"/>
      <c r="L29" s="139"/>
    </row>
    <row r="30" spans="1:17" s="69" customFormat="1" ht="13.95" customHeight="1" x14ac:dyDescent="0.3">
      <c r="A30" s="408"/>
      <c r="B30" s="24" t="s">
        <v>8</v>
      </c>
      <c r="C30" s="79" t="s">
        <v>33</v>
      </c>
      <c r="D30" s="79">
        <v>1</v>
      </c>
      <c r="E30" s="58"/>
      <c r="F30" s="297"/>
      <c r="G30" s="58"/>
      <c r="H30" s="58"/>
      <c r="I30" s="58"/>
      <c r="J30" s="58"/>
      <c r="K30" s="58"/>
      <c r="L30" s="57"/>
    </row>
    <row r="31" spans="1:17" s="69" customFormat="1" ht="13.95" customHeight="1" x14ac:dyDescent="0.3">
      <c r="A31" s="408"/>
      <c r="B31" s="24" t="s">
        <v>10</v>
      </c>
      <c r="C31" s="79" t="s">
        <v>15</v>
      </c>
      <c r="D31" s="79">
        <v>1.7000000000000001E-2</v>
      </c>
      <c r="E31" s="58"/>
      <c r="F31" s="297"/>
      <c r="G31" s="58"/>
      <c r="H31" s="58"/>
      <c r="I31" s="58"/>
      <c r="J31" s="58"/>
      <c r="K31" s="58"/>
      <c r="L31" s="57"/>
    </row>
    <row r="32" spans="1:17" s="69" customFormat="1" ht="13.95" customHeight="1" x14ac:dyDescent="0.3">
      <c r="A32" s="408"/>
      <c r="B32" s="24" t="s">
        <v>12</v>
      </c>
      <c r="C32" s="79"/>
      <c r="D32" s="79"/>
      <c r="E32" s="58"/>
      <c r="F32" s="297"/>
      <c r="G32" s="58"/>
      <c r="H32" s="58"/>
      <c r="I32" s="58"/>
      <c r="J32" s="58"/>
      <c r="K32" s="58"/>
      <c r="L32" s="57"/>
    </row>
    <row r="33" spans="1:14" s="69" customFormat="1" ht="13.8" x14ac:dyDescent="0.3">
      <c r="A33" s="408"/>
      <c r="B33" s="24" t="s">
        <v>274</v>
      </c>
      <c r="C33" s="79" t="s">
        <v>15</v>
      </c>
      <c r="D33" s="79">
        <f>0.15</f>
        <v>0.15</v>
      </c>
      <c r="E33" s="58"/>
      <c r="F33" s="297"/>
      <c r="G33" s="56"/>
      <c r="H33" s="58"/>
      <c r="I33" s="58"/>
      <c r="J33" s="58"/>
      <c r="K33" s="58"/>
      <c r="L33" s="57"/>
      <c r="M33" s="126"/>
    </row>
    <row r="34" spans="1:14" s="69" customFormat="1" ht="13.95" customHeight="1" thickBot="1" x14ac:dyDescent="0.35">
      <c r="A34" s="409"/>
      <c r="B34" s="98" t="s">
        <v>14</v>
      </c>
      <c r="C34" s="141" t="s">
        <v>15</v>
      </c>
      <c r="D34" s="141">
        <v>0.22</v>
      </c>
      <c r="E34" s="142"/>
      <c r="F34" s="313"/>
      <c r="G34" s="143"/>
      <c r="H34" s="142"/>
      <c r="I34" s="142"/>
      <c r="J34" s="142"/>
      <c r="K34" s="142"/>
      <c r="L34" s="144"/>
    </row>
    <row r="35" spans="1:14" s="69" customFormat="1" ht="33" customHeight="1" x14ac:dyDescent="0.3">
      <c r="A35" s="97">
        <v>3</v>
      </c>
      <c r="B35" s="137" t="s">
        <v>219</v>
      </c>
      <c r="C35" s="134" t="s">
        <v>33</v>
      </c>
      <c r="D35" s="134"/>
      <c r="E35" s="138">
        <f>E29</f>
        <v>79.5</v>
      </c>
      <c r="F35" s="312"/>
      <c r="G35" s="138"/>
      <c r="H35" s="138"/>
      <c r="I35" s="138"/>
      <c r="J35" s="138"/>
      <c r="K35" s="138"/>
      <c r="L35" s="139"/>
    </row>
    <row r="36" spans="1:14" s="69" customFormat="1" ht="13.95" customHeight="1" x14ac:dyDescent="0.3">
      <c r="A36" s="247"/>
      <c r="B36" s="24" t="s">
        <v>8</v>
      </c>
      <c r="C36" s="79" t="s">
        <v>33</v>
      </c>
      <c r="D36" s="79">
        <v>1</v>
      </c>
      <c r="E36" s="58"/>
      <c r="F36" s="297"/>
      <c r="G36" s="58"/>
      <c r="H36" s="58"/>
      <c r="I36" s="58"/>
      <c r="J36" s="58"/>
      <c r="K36" s="58"/>
      <c r="L36" s="57"/>
    </row>
    <row r="37" spans="1:14" s="69" customFormat="1" ht="13.95" customHeight="1" x14ac:dyDescent="0.3">
      <c r="A37" s="247"/>
      <c r="B37" s="24" t="s">
        <v>10</v>
      </c>
      <c r="C37" s="79" t="s">
        <v>15</v>
      </c>
      <c r="D37" s="79">
        <v>1.7000000000000001E-2</v>
      </c>
      <c r="E37" s="58"/>
      <c r="F37" s="297"/>
      <c r="G37" s="58"/>
      <c r="H37" s="58"/>
      <c r="I37" s="58"/>
      <c r="J37" s="58"/>
      <c r="K37" s="58"/>
      <c r="L37" s="57"/>
    </row>
    <row r="38" spans="1:14" s="69" customFormat="1" ht="13.95" customHeight="1" x14ac:dyDescent="0.3">
      <c r="A38" s="247"/>
      <c r="B38" s="24" t="s">
        <v>12</v>
      </c>
      <c r="C38" s="79"/>
      <c r="D38" s="79"/>
      <c r="E38" s="58"/>
      <c r="F38" s="297"/>
      <c r="G38" s="58"/>
      <c r="H38" s="58"/>
      <c r="I38" s="58"/>
      <c r="J38" s="58"/>
      <c r="K38" s="58"/>
      <c r="L38" s="57"/>
    </row>
    <row r="39" spans="1:14" s="69" customFormat="1" ht="51.75" customHeight="1" x14ac:dyDescent="0.3">
      <c r="A39" s="247"/>
      <c r="B39" s="24" t="s">
        <v>471</v>
      </c>
      <c r="C39" s="79" t="s">
        <v>13</v>
      </c>
      <c r="D39" s="79">
        <v>3.3</v>
      </c>
      <c r="E39" s="58"/>
      <c r="F39" s="297"/>
      <c r="G39" s="56"/>
      <c r="H39" s="58"/>
      <c r="I39" s="58"/>
      <c r="J39" s="58"/>
      <c r="K39" s="58"/>
      <c r="L39" s="57"/>
      <c r="M39" s="126"/>
    </row>
    <row r="40" spans="1:14" s="69" customFormat="1" ht="13.95" customHeight="1" thickBot="1" x14ac:dyDescent="0.35">
      <c r="A40" s="279"/>
      <c r="B40" s="98" t="s">
        <v>14</v>
      </c>
      <c r="C40" s="141" t="s">
        <v>15</v>
      </c>
      <c r="D40" s="141">
        <v>0.22</v>
      </c>
      <c r="E40" s="142"/>
      <c r="F40" s="313"/>
      <c r="G40" s="143"/>
      <c r="H40" s="142"/>
      <c r="I40" s="142"/>
      <c r="J40" s="142"/>
      <c r="K40" s="142"/>
      <c r="L40" s="144"/>
    </row>
    <row r="41" spans="1:14" s="69" customFormat="1" ht="27.6" customHeight="1" x14ac:dyDescent="0.3">
      <c r="A41" s="559">
        <v>4</v>
      </c>
      <c r="B41" s="145" t="s">
        <v>448</v>
      </c>
      <c r="C41" s="146" t="s">
        <v>33</v>
      </c>
      <c r="D41" s="146"/>
      <c r="E41" s="147">
        <f>E35</f>
        <v>79.5</v>
      </c>
      <c r="F41" s="650"/>
      <c r="G41" s="147"/>
      <c r="H41" s="147"/>
      <c r="I41" s="147"/>
      <c r="J41" s="147"/>
      <c r="K41" s="147"/>
      <c r="L41" s="148"/>
    </row>
    <row r="42" spans="1:14" s="69" customFormat="1" ht="13.95" customHeight="1" x14ac:dyDescent="0.3">
      <c r="A42" s="247"/>
      <c r="B42" s="24" t="s">
        <v>8</v>
      </c>
      <c r="C42" s="79" t="s">
        <v>33</v>
      </c>
      <c r="D42" s="79">
        <v>1</v>
      </c>
      <c r="E42" s="58"/>
      <c r="F42" s="297"/>
      <c r="G42" s="56"/>
      <c r="H42" s="58"/>
      <c r="I42" s="58"/>
      <c r="J42" s="58"/>
      <c r="K42" s="58"/>
      <c r="L42" s="57"/>
    </row>
    <row r="43" spans="1:14" s="69" customFormat="1" ht="13.95" customHeight="1" x14ac:dyDescent="0.3">
      <c r="A43" s="247"/>
      <c r="B43" s="24" t="s">
        <v>10</v>
      </c>
      <c r="C43" s="79" t="s">
        <v>15</v>
      </c>
      <c r="D43" s="79">
        <f>0.08</f>
        <v>0.08</v>
      </c>
      <c r="E43" s="58"/>
      <c r="F43" s="297"/>
      <c r="G43" s="56"/>
      <c r="H43" s="58"/>
      <c r="I43" s="58"/>
      <c r="J43" s="58"/>
      <c r="K43" s="58"/>
      <c r="L43" s="57"/>
    </row>
    <row r="44" spans="1:14" s="69" customFormat="1" ht="13.95" customHeight="1" x14ac:dyDescent="0.3">
      <c r="A44" s="247"/>
      <c r="B44" s="24" t="s">
        <v>12</v>
      </c>
      <c r="C44" s="79"/>
      <c r="D44" s="79"/>
      <c r="E44" s="58"/>
      <c r="F44" s="297"/>
      <c r="G44" s="56"/>
      <c r="H44" s="58"/>
      <c r="I44" s="58"/>
      <c r="J44" s="58"/>
      <c r="K44" s="58"/>
      <c r="L44" s="57"/>
    </row>
    <row r="45" spans="1:14" s="69" customFormat="1" ht="20.399999999999999" customHeight="1" x14ac:dyDescent="0.3">
      <c r="A45" s="247"/>
      <c r="B45" s="24" t="s">
        <v>449</v>
      </c>
      <c r="C45" s="79" t="s">
        <v>33</v>
      </c>
      <c r="D45" s="79">
        <f>1.05</f>
        <v>1.05</v>
      </c>
      <c r="E45" s="58"/>
      <c r="F45" s="297"/>
      <c r="G45" s="56"/>
      <c r="H45" s="58"/>
      <c r="I45" s="58"/>
      <c r="J45" s="58"/>
      <c r="K45" s="58"/>
      <c r="L45" s="57"/>
      <c r="N45" s="69" t="s">
        <v>329</v>
      </c>
    </row>
    <row r="46" spans="1:14" s="69" customFormat="1" ht="13.95" customHeight="1" x14ac:dyDescent="0.3">
      <c r="A46" s="247"/>
      <c r="B46" s="24" t="s">
        <v>335</v>
      </c>
      <c r="C46" s="79" t="s">
        <v>13</v>
      </c>
      <c r="D46" s="79">
        <v>5</v>
      </c>
      <c r="E46" s="58"/>
      <c r="F46" s="297"/>
      <c r="G46" s="56"/>
      <c r="H46" s="58"/>
      <c r="I46" s="58"/>
      <c r="J46" s="58"/>
      <c r="K46" s="58"/>
      <c r="L46" s="57"/>
    </row>
    <row r="47" spans="1:14" s="69" customFormat="1" ht="13.95" customHeight="1" x14ac:dyDescent="0.3">
      <c r="A47" s="247"/>
      <c r="B47" s="24" t="s">
        <v>39</v>
      </c>
      <c r="C47" s="79" t="s">
        <v>13</v>
      </c>
      <c r="D47" s="79">
        <v>0.15</v>
      </c>
      <c r="E47" s="58"/>
      <c r="F47" s="297"/>
      <c r="G47" s="56"/>
      <c r="H47" s="58"/>
      <c r="I47" s="58"/>
      <c r="J47" s="58"/>
      <c r="K47" s="58"/>
      <c r="L47" s="57"/>
    </row>
    <row r="48" spans="1:14" s="69" customFormat="1" ht="13.95" customHeight="1" thickBot="1" x14ac:dyDescent="0.35">
      <c r="A48" s="279"/>
      <c r="B48" s="98" t="s">
        <v>14</v>
      </c>
      <c r="C48" s="141" t="s">
        <v>15</v>
      </c>
      <c r="D48" s="141">
        <f>0.19</f>
        <v>0.19</v>
      </c>
      <c r="E48" s="142"/>
      <c r="F48" s="313"/>
      <c r="G48" s="143"/>
      <c r="H48" s="142"/>
      <c r="I48" s="142"/>
      <c r="J48" s="142"/>
      <c r="K48" s="142"/>
      <c r="L48" s="144"/>
    </row>
    <row r="49" spans="1:14" s="69" customFormat="1" ht="15.6" thickBot="1" x14ac:dyDescent="0.35">
      <c r="A49" s="554"/>
      <c r="B49" s="197" t="s">
        <v>221</v>
      </c>
      <c r="C49" s="175"/>
      <c r="D49" s="175"/>
      <c r="E49" s="176"/>
      <c r="F49" s="626"/>
      <c r="G49" s="177"/>
      <c r="H49" s="176"/>
      <c r="I49" s="176"/>
      <c r="J49" s="176"/>
      <c r="K49" s="176"/>
      <c r="L49" s="178"/>
    </row>
    <row r="50" spans="1:14" s="158" customFormat="1" ht="27.75" customHeight="1" x14ac:dyDescent="0.3">
      <c r="A50" s="97">
        <v>1</v>
      </c>
      <c r="B50" s="137" t="s">
        <v>220</v>
      </c>
      <c r="C50" s="134" t="s">
        <v>33</v>
      </c>
      <c r="D50" s="161"/>
      <c r="E50" s="162">
        <v>66.2</v>
      </c>
      <c r="F50" s="163"/>
      <c r="G50" s="163"/>
      <c r="H50" s="163"/>
      <c r="I50" s="163"/>
      <c r="J50" s="163"/>
      <c r="K50" s="163"/>
      <c r="L50" s="164"/>
    </row>
    <row r="51" spans="1:14" s="158" customFormat="1" ht="13.8" x14ac:dyDescent="0.3">
      <c r="A51" s="247"/>
      <c r="B51" s="24" t="s">
        <v>8</v>
      </c>
      <c r="C51" s="79" t="s">
        <v>33</v>
      </c>
      <c r="D51" s="159">
        <v>1</v>
      </c>
      <c r="E51" s="159"/>
      <c r="F51" s="166"/>
      <c r="G51" s="165"/>
      <c r="H51" s="58"/>
      <c r="I51" s="165"/>
      <c r="J51" s="165"/>
      <c r="K51" s="165"/>
      <c r="L51" s="160"/>
    </row>
    <row r="52" spans="1:14" s="158" customFormat="1" ht="13.8" x14ac:dyDescent="0.3">
      <c r="A52" s="247"/>
      <c r="B52" s="24" t="s">
        <v>10</v>
      </c>
      <c r="C52" s="79" t="s">
        <v>15</v>
      </c>
      <c r="D52" s="159">
        <v>1.7000000000000001E-2</v>
      </c>
      <c r="E52" s="159"/>
      <c r="F52" s="166"/>
      <c r="G52" s="165"/>
      <c r="H52" s="165"/>
      <c r="I52" s="165"/>
      <c r="J52" s="58"/>
      <c r="K52" s="165"/>
      <c r="L52" s="160"/>
    </row>
    <row r="53" spans="1:14" s="158" customFormat="1" ht="13.8" x14ac:dyDescent="0.3">
      <c r="A53" s="247"/>
      <c r="B53" s="24" t="s">
        <v>12</v>
      </c>
      <c r="C53" s="79"/>
      <c r="D53" s="159"/>
      <c r="E53" s="159"/>
      <c r="F53" s="166"/>
      <c r="G53" s="165"/>
      <c r="H53" s="165"/>
      <c r="I53" s="165"/>
      <c r="J53" s="165"/>
      <c r="K53" s="165"/>
      <c r="L53" s="160"/>
    </row>
    <row r="54" spans="1:14" s="158" customFormat="1" ht="13.8" x14ac:dyDescent="0.3">
      <c r="A54" s="247"/>
      <c r="B54" s="24" t="s">
        <v>215</v>
      </c>
      <c r="C54" s="79" t="s">
        <v>33</v>
      </c>
      <c r="D54" s="159">
        <v>1.05</v>
      </c>
      <c r="E54" s="159"/>
      <c r="F54" s="166"/>
      <c r="G54" s="166"/>
      <c r="H54" s="165"/>
      <c r="I54" s="165"/>
      <c r="J54" s="165"/>
      <c r="K54" s="165"/>
      <c r="L54" s="160"/>
    </row>
    <row r="55" spans="1:14" s="158" customFormat="1" thickBot="1" x14ac:dyDescent="0.35">
      <c r="A55" s="560"/>
      <c r="B55" s="150" t="s">
        <v>14</v>
      </c>
      <c r="C55" s="151" t="s">
        <v>15</v>
      </c>
      <c r="D55" s="199">
        <v>0.06</v>
      </c>
      <c r="E55" s="199"/>
      <c r="F55" s="313"/>
      <c r="G55" s="200"/>
      <c r="H55" s="201"/>
      <c r="I55" s="201"/>
      <c r="J55" s="201"/>
      <c r="K55" s="201"/>
      <c r="L55" s="202"/>
    </row>
    <row r="56" spans="1:14" s="158" customFormat="1" ht="27.75" customHeight="1" x14ac:dyDescent="0.3">
      <c r="A56" s="97">
        <v>2</v>
      </c>
      <c r="B56" s="137" t="s">
        <v>222</v>
      </c>
      <c r="C56" s="195" t="s">
        <v>33</v>
      </c>
      <c r="D56" s="203"/>
      <c r="E56" s="395">
        <f>E50</f>
        <v>66.2</v>
      </c>
      <c r="F56" s="173"/>
      <c r="G56" s="173"/>
      <c r="H56" s="204"/>
      <c r="I56" s="204"/>
      <c r="J56" s="204"/>
      <c r="K56" s="204"/>
      <c r="L56" s="205"/>
    </row>
    <row r="57" spans="1:14" s="158" customFormat="1" ht="13.8" x14ac:dyDescent="0.3">
      <c r="A57" s="16"/>
      <c r="B57" s="55" t="s">
        <v>8</v>
      </c>
      <c r="C57" s="75" t="s">
        <v>33</v>
      </c>
      <c r="D57" s="159">
        <v>1</v>
      </c>
      <c r="E57" s="188"/>
      <c r="F57" s="166"/>
      <c r="G57" s="166"/>
      <c r="H57" s="58"/>
      <c r="I57" s="166"/>
      <c r="J57" s="166"/>
      <c r="K57" s="166"/>
      <c r="L57" s="160"/>
    </row>
    <row r="58" spans="1:14" s="158" customFormat="1" ht="13.8" x14ac:dyDescent="0.3">
      <c r="A58" s="247"/>
      <c r="B58" s="24" t="s">
        <v>10</v>
      </c>
      <c r="C58" s="79" t="s">
        <v>15</v>
      </c>
      <c r="D58" s="159">
        <v>1.7000000000000001E-2</v>
      </c>
      <c r="E58" s="159"/>
      <c r="F58" s="166"/>
      <c r="G58" s="165"/>
      <c r="H58" s="165"/>
      <c r="I58" s="165"/>
      <c r="J58" s="58"/>
      <c r="K58" s="165"/>
      <c r="L58" s="160"/>
    </row>
    <row r="59" spans="1:14" s="158" customFormat="1" ht="13.8" x14ac:dyDescent="0.3">
      <c r="A59" s="247"/>
      <c r="B59" s="24" t="s">
        <v>12</v>
      </c>
      <c r="C59" s="79"/>
      <c r="D59" s="159"/>
      <c r="E59" s="159"/>
      <c r="F59" s="166"/>
      <c r="G59" s="165"/>
      <c r="H59" s="165"/>
      <c r="I59" s="165"/>
      <c r="J59" s="165"/>
      <c r="K59" s="165"/>
      <c r="L59" s="160"/>
    </row>
    <row r="60" spans="1:14" s="158" customFormat="1" ht="13.8" x14ac:dyDescent="0.3">
      <c r="A60" s="247"/>
      <c r="B60" s="24" t="s">
        <v>223</v>
      </c>
      <c r="C60" s="79" t="s">
        <v>33</v>
      </c>
      <c r="D60" s="159">
        <v>1.05</v>
      </c>
      <c r="E60" s="159"/>
      <c r="F60" s="166"/>
      <c r="G60" s="165"/>
      <c r="H60" s="165"/>
      <c r="I60" s="165"/>
      <c r="J60" s="165"/>
      <c r="K60" s="165"/>
      <c r="L60" s="160"/>
    </row>
    <row r="61" spans="1:14" s="158" customFormat="1" ht="17.399999999999999" x14ac:dyDescent="0.3">
      <c r="A61" s="247"/>
      <c r="B61" s="248" t="s">
        <v>231</v>
      </c>
      <c r="C61" s="249" t="s">
        <v>236</v>
      </c>
      <c r="D61" s="79">
        <v>1.05</v>
      </c>
      <c r="E61" s="58"/>
      <c r="F61" s="297"/>
      <c r="G61" s="58"/>
      <c r="H61" s="58"/>
      <c r="I61" s="58"/>
      <c r="J61" s="58"/>
      <c r="K61" s="58"/>
      <c r="L61" s="57"/>
    </row>
    <row r="62" spans="1:14" s="158" customFormat="1" thickBot="1" x14ac:dyDescent="0.35">
      <c r="A62" s="279"/>
      <c r="B62" s="98" t="s">
        <v>14</v>
      </c>
      <c r="C62" s="141" t="s">
        <v>15</v>
      </c>
      <c r="D62" s="168">
        <v>0.06</v>
      </c>
      <c r="E62" s="168"/>
      <c r="F62" s="313"/>
      <c r="G62" s="169"/>
      <c r="H62" s="170"/>
      <c r="I62" s="170"/>
      <c r="J62" s="170"/>
      <c r="K62" s="170"/>
      <c r="L62" s="171"/>
    </row>
    <row r="63" spans="1:14" s="69" customFormat="1" ht="27.6" customHeight="1" x14ac:dyDescent="0.3">
      <c r="A63" s="97">
        <v>3</v>
      </c>
      <c r="B63" s="137" t="s">
        <v>227</v>
      </c>
      <c r="C63" s="206" t="s">
        <v>33</v>
      </c>
      <c r="D63" s="206"/>
      <c r="E63" s="138">
        <f>E56</f>
        <v>66.2</v>
      </c>
      <c r="F63" s="312"/>
      <c r="G63" s="138"/>
      <c r="H63" s="138"/>
      <c r="I63" s="138"/>
      <c r="J63" s="138"/>
      <c r="K63" s="138"/>
      <c r="L63" s="139"/>
    </row>
    <row r="64" spans="1:14" s="69" customFormat="1" ht="13.95" customHeight="1" x14ac:dyDescent="0.3">
      <c r="A64" s="247"/>
      <c r="B64" s="55" t="s">
        <v>8</v>
      </c>
      <c r="C64" s="179" t="s">
        <v>33</v>
      </c>
      <c r="D64" s="179">
        <v>1</v>
      </c>
      <c r="E64" s="56"/>
      <c r="F64" s="297"/>
      <c r="G64" s="56"/>
      <c r="H64" s="58"/>
      <c r="I64" s="56"/>
      <c r="J64" s="56"/>
      <c r="K64" s="56"/>
      <c r="L64" s="57"/>
      <c r="N64" s="118"/>
    </row>
    <row r="65" spans="1:17" s="69" customFormat="1" ht="13.95" customHeight="1" x14ac:dyDescent="0.3">
      <c r="A65" s="247"/>
      <c r="B65" s="55" t="s">
        <v>10</v>
      </c>
      <c r="C65" s="179" t="s">
        <v>15</v>
      </c>
      <c r="D65" s="179">
        <v>1</v>
      </c>
      <c r="E65" s="56"/>
      <c r="F65" s="297"/>
      <c r="G65" s="56"/>
      <c r="H65" s="56"/>
      <c r="I65" s="56"/>
      <c r="J65" s="58"/>
      <c r="K65" s="56"/>
      <c r="L65" s="57"/>
    </row>
    <row r="66" spans="1:17" s="69" customFormat="1" ht="13.95" customHeight="1" x14ac:dyDescent="0.3">
      <c r="A66" s="247"/>
      <c r="B66" s="55" t="s">
        <v>12</v>
      </c>
      <c r="C66" s="179"/>
      <c r="D66" s="179"/>
      <c r="E66" s="56"/>
      <c r="F66" s="297"/>
      <c r="G66" s="56"/>
      <c r="H66" s="56"/>
      <c r="I66" s="56"/>
      <c r="J66" s="56"/>
      <c r="K66" s="56"/>
      <c r="L66" s="57"/>
    </row>
    <row r="67" spans="1:17" s="184" customFormat="1" x14ac:dyDescent="0.3">
      <c r="A67" s="120"/>
      <c r="B67" s="24" t="s">
        <v>269</v>
      </c>
      <c r="C67" s="121" t="s">
        <v>27</v>
      </c>
      <c r="D67" s="79">
        <f>(2.04+0.51*6)/100</f>
        <v>5.0999999999999997E-2</v>
      </c>
      <c r="E67" s="122"/>
      <c r="F67" s="649"/>
      <c r="G67" s="166"/>
      <c r="H67" s="165"/>
      <c r="I67" s="165"/>
      <c r="J67" s="165"/>
      <c r="K67" s="165"/>
      <c r="L67" s="160"/>
      <c r="M67"/>
      <c r="N67"/>
      <c r="O67"/>
      <c r="P67"/>
      <c r="Q67"/>
    </row>
    <row r="68" spans="1:17" s="184" customFormat="1" x14ac:dyDescent="0.3">
      <c r="A68" s="272"/>
      <c r="B68" s="24" t="s">
        <v>122</v>
      </c>
      <c r="C68" s="273" t="s">
        <v>27</v>
      </c>
      <c r="D68" s="79">
        <f>0.05*1.23</f>
        <v>6.1499999999999999E-2</v>
      </c>
      <c r="E68" s="274"/>
      <c r="F68" s="649"/>
      <c r="G68" s="166"/>
      <c r="H68" s="201"/>
      <c r="I68" s="201"/>
      <c r="J68" s="201"/>
      <c r="K68" s="201"/>
      <c r="L68" s="160"/>
      <c r="M68"/>
      <c r="N68"/>
      <c r="O68"/>
      <c r="P68"/>
      <c r="Q68"/>
    </row>
    <row r="69" spans="1:17" s="184" customFormat="1" x14ac:dyDescent="0.3">
      <c r="A69" s="272"/>
      <c r="B69" s="24" t="s">
        <v>138</v>
      </c>
      <c r="C69" s="273" t="s">
        <v>228</v>
      </c>
      <c r="D69" s="79">
        <f>0.05*0.306</f>
        <v>1.5300000000000001E-2</v>
      </c>
      <c r="E69" s="274"/>
      <c r="F69" s="649"/>
      <c r="G69" s="166"/>
      <c r="H69" s="201"/>
      <c r="I69" s="201"/>
      <c r="J69" s="201"/>
      <c r="K69" s="201"/>
      <c r="L69" s="160"/>
      <c r="M69"/>
      <c r="N69"/>
      <c r="O69"/>
      <c r="P69"/>
      <c r="Q69"/>
    </row>
    <row r="70" spans="1:17" s="69" customFormat="1" ht="13.95" customHeight="1" x14ac:dyDescent="0.3">
      <c r="A70" s="247"/>
      <c r="B70" s="24" t="s">
        <v>470</v>
      </c>
      <c r="C70" s="79" t="s">
        <v>33</v>
      </c>
      <c r="D70" s="79">
        <v>1.03</v>
      </c>
      <c r="E70" s="58"/>
      <c r="F70" s="297"/>
      <c r="G70" s="56"/>
      <c r="H70" s="58"/>
      <c r="I70" s="58"/>
      <c r="J70" s="58"/>
      <c r="K70" s="58"/>
      <c r="L70" s="57"/>
    </row>
    <row r="71" spans="1:17" s="184" customFormat="1" ht="18" customHeight="1" thickBot="1" x14ac:dyDescent="0.35">
      <c r="A71" s="123"/>
      <c r="B71" s="24" t="s">
        <v>14</v>
      </c>
      <c r="C71" s="124" t="s">
        <v>15</v>
      </c>
      <c r="D71" s="125">
        <v>1</v>
      </c>
      <c r="E71" s="125"/>
      <c r="F71" s="313"/>
      <c r="G71" s="166"/>
      <c r="H71" s="170"/>
      <c r="I71" s="170"/>
      <c r="J71" s="170"/>
      <c r="K71" s="170"/>
      <c r="L71" s="160"/>
      <c r="M71"/>
      <c r="N71"/>
      <c r="O71"/>
      <c r="P71"/>
      <c r="Q71"/>
    </row>
    <row r="72" spans="1:17" s="69" customFormat="1" ht="27.6" x14ac:dyDescent="0.3">
      <c r="A72" s="555">
        <v>4</v>
      </c>
      <c r="B72" s="137" t="s">
        <v>219</v>
      </c>
      <c r="C72" s="134" t="s">
        <v>33</v>
      </c>
      <c r="D72" s="134"/>
      <c r="E72" s="138">
        <f>E63</f>
        <v>66.2</v>
      </c>
      <c r="F72" s="312"/>
      <c r="G72" s="138"/>
      <c r="H72" s="138"/>
      <c r="I72" s="138"/>
      <c r="J72" s="138"/>
      <c r="K72" s="138"/>
      <c r="L72" s="139"/>
    </row>
    <row r="73" spans="1:17" s="69" customFormat="1" ht="13.95" customHeight="1" x14ac:dyDescent="0.3">
      <c r="A73" s="247"/>
      <c r="B73" s="24" t="s">
        <v>8</v>
      </c>
      <c r="C73" s="79" t="s">
        <v>33</v>
      </c>
      <c r="D73" s="79">
        <v>1</v>
      </c>
      <c r="E73" s="58"/>
      <c r="F73" s="297"/>
      <c r="G73" s="58"/>
      <c r="H73" s="58"/>
      <c r="I73" s="58"/>
      <c r="J73" s="58"/>
      <c r="K73" s="58"/>
      <c r="L73" s="57"/>
    </row>
    <row r="74" spans="1:17" s="69" customFormat="1" ht="13.95" customHeight="1" x14ac:dyDescent="0.3">
      <c r="A74" s="247"/>
      <c r="B74" s="24" t="s">
        <v>10</v>
      </c>
      <c r="C74" s="79" t="s">
        <v>15</v>
      </c>
      <c r="D74" s="79">
        <v>1.7000000000000001E-2</v>
      </c>
      <c r="E74" s="58"/>
      <c r="F74" s="297"/>
      <c r="G74" s="58"/>
      <c r="H74" s="58"/>
      <c r="I74" s="58"/>
      <c r="J74" s="58"/>
      <c r="K74" s="58"/>
      <c r="L74" s="57"/>
    </row>
    <row r="75" spans="1:17" s="69" customFormat="1" ht="13.95" customHeight="1" x14ac:dyDescent="0.3">
      <c r="A75" s="247"/>
      <c r="B75" s="24" t="s">
        <v>12</v>
      </c>
      <c r="C75" s="79"/>
      <c r="D75" s="79"/>
      <c r="E75" s="58"/>
      <c r="F75" s="297"/>
      <c r="G75" s="58"/>
      <c r="H75" s="58"/>
      <c r="I75" s="58"/>
      <c r="J75" s="58"/>
      <c r="K75" s="58"/>
      <c r="L75" s="57"/>
    </row>
    <row r="76" spans="1:17" s="69" customFormat="1" ht="42.75" customHeight="1" x14ac:dyDescent="0.3">
      <c r="A76" s="247"/>
      <c r="B76" s="24" t="s">
        <v>214</v>
      </c>
      <c r="C76" s="79" t="s">
        <v>13</v>
      </c>
      <c r="D76" s="79">
        <v>3.3</v>
      </c>
      <c r="E76" s="58"/>
      <c r="F76" s="297"/>
      <c r="G76" s="56"/>
      <c r="H76" s="58"/>
      <c r="I76" s="58"/>
      <c r="J76" s="58"/>
      <c r="K76" s="58"/>
      <c r="L76" s="57"/>
      <c r="M76" s="126"/>
    </row>
    <row r="77" spans="1:17" s="69" customFormat="1" ht="13.95" customHeight="1" thickBot="1" x14ac:dyDescent="0.35">
      <c r="A77" s="279"/>
      <c r="B77" s="98" t="s">
        <v>14</v>
      </c>
      <c r="C77" s="141" t="s">
        <v>15</v>
      </c>
      <c r="D77" s="141">
        <v>0.22</v>
      </c>
      <c r="E77" s="142"/>
      <c r="F77" s="313"/>
      <c r="G77" s="143"/>
      <c r="H77" s="142"/>
      <c r="I77" s="142"/>
      <c r="J77" s="142"/>
      <c r="K77" s="142"/>
      <c r="L77" s="144"/>
    </row>
    <row r="78" spans="1:17" s="69" customFormat="1" ht="27.6" customHeight="1" x14ac:dyDescent="0.3">
      <c r="A78" s="561">
        <v>5</v>
      </c>
      <c r="B78" s="145" t="s">
        <v>224</v>
      </c>
      <c r="C78" s="146" t="s">
        <v>33</v>
      </c>
      <c r="D78" s="146"/>
      <c r="E78" s="147">
        <f>E63</f>
        <v>66.2</v>
      </c>
      <c r="F78" s="650"/>
      <c r="G78" s="147"/>
      <c r="H78" s="147"/>
      <c r="I78" s="147"/>
      <c r="J78" s="147"/>
      <c r="K78" s="147"/>
      <c r="L78" s="148"/>
    </row>
    <row r="79" spans="1:17" s="69" customFormat="1" ht="13.95" customHeight="1" x14ac:dyDescent="0.3">
      <c r="A79" s="247"/>
      <c r="B79" s="24" t="s">
        <v>8</v>
      </c>
      <c r="C79" s="79" t="s">
        <v>33</v>
      </c>
      <c r="D79" s="79">
        <v>1</v>
      </c>
      <c r="E79" s="58"/>
      <c r="F79" s="297"/>
      <c r="G79" s="56"/>
      <c r="H79" s="58"/>
      <c r="I79" s="58"/>
      <c r="J79" s="58"/>
      <c r="K79" s="58"/>
      <c r="L79" s="57"/>
    </row>
    <row r="80" spans="1:17" s="69" customFormat="1" ht="13.95" customHeight="1" x14ac:dyDescent="0.3">
      <c r="A80" s="247"/>
      <c r="B80" s="24" t="s">
        <v>10</v>
      </c>
      <c r="C80" s="79" t="s">
        <v>15</v>
      </c>
      <c r="D80" s="79">
        <f>0.08</f>
        <v>0.08</v>
      </c>
      <c r="E80" s="58"/>
      <c r="F80" s="297"/>
      <c r="G80" s="56"/>
      <c r="H80" s="58"/>
      <c r="I80" s="58"/>
      <c r="J80" s="58"/>
      <c r="K80" s="58"/>
      <c r="L80" s="57"/>
    </row>
    <row r="81" spans="1:14" s="69" customFormat="1" ht="13.95" customHeight="1" x14ac:dyDescent="0.3">
      <c r="A81" s="247"/>
      <c r="B81" s="24" t="s">
        <v>12</v>
      </c>
      <c r="C81" s="79"/>
      <c r="D81" s="79"/>
      <c r="E81" s="58"/>
      <c r="F81" s="297"/>
      <c r="G81" s="56"/>
      <c r="H81" s="58"/>
      <c r="I81" s="58"/>
      <c r="J81" s="58"/>
      <c r="K81" s="58"/>
      <c r="L81" s="57"/>
    </row>
    <row r="82" spans="1:14" s="69" customFormat="1" ht="30" customHeight="1" x14ac:dyDescent="0.3">
      <c r="A82" s="247"/>
      <c r="B82" s="24" t="s">
        <v>275</v>
      </c>
      <c r="C82" s="79" t="s">
        <v>33</v>
      </c>
      <c r="D82" s="79">
        <f>1.05</f>
        <v>1.05</v>
      </c>
      <c r="E82" s="58"/>
      <c r="F82" s="297"/>
      <c r="G82" s="56"/>
      <c r="H82" s="58"/>
      <c r="I82" s="58"/>
      <c r="J82" s="58"/>
      <c r="K82" s="58"/>
      <c r="L82" s="57"/>
      <c r="N82" s="69" t="s">
        <v>329</v>
      </c>
    </row>
    <row r="83" spans="1:14" s="69" customFormat="1" ht="13.95" customHeight="1" x14ac:dyDescent="0.3">
      <c r="A83" s="247"/>
      <c r="B83" s="24" t="s">
        <v>335</v>
      </c>
      <c r="C83" s="79" t="s">
        <v>13</v>
      </c>
      <c r="D83" s="79">
        <v>5</v>
      </c>
      <c r="E83" s="58"/>
      <c r="F83" s="297"/>
      <c r="G83" s="56"/>
      <c r="H83" s="58"/>
      <c r="I83" s="58"/>
      <c r="J83" s="58"/>
      <c r="K83" s="58"/>
      <c r="L83" s="57"/>
    </row>
    <row r="84" spans="1:14" s="69" customFormat="1" ht="13.95" customHeight="1" x14ac:dyDescent="0.3">
      <c r="A84" s="247"/>
      <c r="B84" s="24" t="s">
        <v>39</v>
      </c>
      <c r="C84" s="79" t="s">
        <v>13</v>
      </c>
      <c r="D84" s="79">
        <v>0.15</v>
      </c>
      <c r="E84" s="58"/>
      <c r="F84" s="297"/>
      <c r="G84" s="56"/>
      <c r="H84" s="58"/>
      <c r="I84" s="58"/>
      <c r="J84" s="58"/>
      <c r="K84" s="58"/>
      <c r="L84" s="57"/>
    </row>
    <row r="85" spans="1:14" s="69" customFormat="1" ht="13.95" customHeight="1" thickBot="1" x14ac:dyDescent="0.35">
      <c r="A85" s="279"/>
      <c r="B85" s="98" t="s">
        <v>14</v>
      </c>
      <c r="C85" s="141" t="s">
        <v>15</v>
      </c>
      <c r="D85" s="141">
        <f>0.19</f>
        <v>0.19</v>
      </c>
      <c r="E85" s="142"/>
      <c r="F85" s="313"/>
      <c r="G85" s="143"/>
      <c r="H85" s="142"/>
      <c r="I85" s="142"/>
      <c r="J85" s="142"/>
      <c r="K85" s="142"/>
      <c r="L85" s="57"/>
    </row>
    <row r="86" spans="1:14" s="69" customFormat="1" ht="13.95" customHeight="1" thickBot="1" x14ac:dyDescent="0.35">
      <c r="A86" s="554"/>
      <c r="B86" s="197" t="s">
        <v>217</v>
      </c>
      <c r="C86" s="209"/>
      <c r="D86" s="209"/>
      <c r="E86" s="210"/>
      <c r="F86" s="210"/>
      <c r="G86" s="211"/>
      <c r="H86" s="210"/>
      <c r="I86" s="210"/>
      <c r="J86" s="210"/>
      <c r="K86" s="210"/>
      <c r="L86" s="212"/>
    </row>
    <row r="87" spans="1:14" s="69" customFormat="1" ht="29.25" customHeight="1" x14ac:dyDescent="0.3">
      <c r="A87" s="97">
        <v>1</v>
      </c>
      <c r="B87" s="137" t="s">
        <v>270</v>
      </c>
      <c r="C87" s="134" t="s">
        <v>33</v>
      </c>
      <c r="D87" s="134"/>
      <c r="E87" s="138">
        <v>296.39999999999998</v>
      </c>
      <c r="F87" s="312"/>
      <c r="G87" s="138"/>
      <c r="H87" s="138"/>
      <c r="I87" s="138"/>
      <c r="J87" s="138"/>
      <c r="K87" s="138"/>
      <c r="L87" s="139"/>
    </row>
    <row r="88" spans="1:14" s="69" customFormat="1" ht="13.8" x14ac:dyDescent="0.3">
      <c r="A88" s="247"/>
      <c r="B88" s="24" t="s">
        <v>8</v>
      </c>
      <c r="C88" s="79" t="s">
        <v>33</v>
      </c>
      <c r="D88" s="79">
        <v>1</v>
      </c>
      <c r="E88" s="58"/>
      <c r="F88" s="297"/>
      <c r="G88" s="58"/>
      <c r="H88" s="58"/>
      <c r="I88" s="58"/>
      <c r="J88" s="58"/>
      <c r="K88" s="58"/>
      <c r="L88" s="57"/>
    </row>
    <row r="89" spans="1:14" s="69" customFormat="1" ht="13.8" x14ac:dyDescent="0.3">
      <c r="A89" s="247"/>
      <c r="B89" s="24" t="s">
        <v>10</v>
      </c>
      <c r="C89" s="79" t="s">
        <v>15</v>
      </c>
      <c r="D89" s="79">
        <v>1.7000000000000001E-2</v>
      </c>
      <c r="E89" s="58"/>
      <c r="F89" s="297"/>
      <c r="G89" s="58"/>
      <c r="H89" s="58"/>
      <c r="I89" s="58"/>
      <c r="J89" s="58"/>
      <c r="K89" s="58"/>
      <c r="L89" s="57"/>
    </row>
    <row r="90" spans="1:14" s="69" customFormat="1" ht="13.8" x14ac:dyDescent="0.3">
      <c r="A90" s="247"/>
      <c r="B90" s="24" t="s">
        <v>12</v>
      </c>
      <c r="C90" s="79"/>
      <c r="D90" s="79"/>
      <c r="E90" s="58"/>
      <c r="F90" s="297"/>
      <c r="G90" s="58"/>
      <c r="H90" s="58"/>
      <c r="I90" s="58"/>
      <c r="J90" s="58"/>
      <c r="K90" s="58"/>
      <c r="L90" s="57"/>
    </row>
    <row r="91" spans="1:14" s="69" customFormat="1" ht="19.5" customHeight="1" x14ac:dyDescent="0.3">
      <c r="A91" s="247"/>
      <c r="B91" s="24" t="s">
        <v>330</v>
      </c>
      <c r="C91" s="79" t="s">
        <v>33</v>
      </c>
      <c r="D91" s="79">
        <v>1.05</v>
      </c>
      <c r="E91" s="58"/>
      <c r="F91" s="297"/>
      <c r="G91" s="56"/>
      <c r="H91" s="58"/>
      <c r="I91" s="58"/>
      <c r="J91" s="58"/>
      <c r="K91" s="58"/>
      <c r="L91" s="57"/>
    </row>
    <row r="92" spans="1:14" s="69" customFormat="1" thickBot="1" x14ac:dyDescent="0.35">
      <c r="A92" s="279"/>
      <c r="B92" s="98" t="s">
        <v>14</v>
      </c>
      <c r="C92" s="141" t="s">
        <v>15</v>
      </c>
      <c r="D92" s="141">
        <v>0.22</v>
      </c>
      <c r="E92" s="142"/>
      <c r="F92" s="313"/>
      <c r="G92" s="143"/>
      <c r="H92" s="142"/>
      <c r="I92" s="142"/>
      <c r="J92" s="142"/>
      <c r="K92" s="142"/>
      <c r="L92" s="144"/>
    </row>
    <row r="93" spans="1:14" s="158" customFormat="1" ht="27.75" customHeight="1" x14ac:dyDescent="0.3">
      <c r="A93" s="555">
        <v>2</v>
      </c>
      <c r="B93" s="137" t="s">
        <v>73</v>
      </c>
      <c r="C93" s="134" t="s">
        <v>33</v>
      </c>
      <c r="D93" s="161"/>
      <c r="E93" s="162">
        <f>E87</f>
        <v>296.39999999999998</v>
      </c>
      <c r="F93" s="163"/>
      <c r="G93" s="163"/>
      <c r="H93" s="163"/>
      <c r="I93" s="163"/>
      <c r="J93" s="163"/>
      <c r="K93" s="163"/>
      <c r="L93" s="164"/>
    </row>
    <row r="94" spans="1:14" s="158" customFormat="1" ht="13.8" x14ac:dyDescent="0.3">
      <c r="A94" s="247"/>
      <c r="B94" s="24" t="s">
        <v>8</v>
      </c>
      <c r="C94" s="79" t="s">
        <v>33</v>
      </c>
      <c r="D94" s="159">
        <v>1</v>
      </c>
      <c r="E94" s="159"/>
      <c r="F94" s="166"/>
      <c r="G94" s="165"/>
      <c r="H94" s="165"/>
      <c r="I94" s="165"/>
      <c r="J94" s="165"/>
      <c r="K94" s="165"/>
      <c r="L94" s="160"/>
    </row>
    <row r="95" spans="1:14" s="158" customFormat="1" ht="13.8" x14ac:dyDescent="0.3">
      <c r="A95" s="247"/>
      <c r="B95" s="24" t="s">
        <v>10</v>
      </c>
      <c r="C95" s="79" t="s">
        <v>15</v>
      </c>
      <c r="D95" s="159">
        <v>1.7000000000000001E-2</v>
      </c>
      <c r="E95" s="159"/>
      <c r="F95" s="166"/>
      <c r="G95" s="165"/>
      <c r="H95" s="165"/>
      <c r="I95" s="165"/>
      <c r="J95" s="58"/>
      <c r="K95" s="165"/>
      <c r="L95" s="160"/>
    </row>
    <row r="96" spans="1:14" s="158" customFormat="1" ht="13.8" x14ac:dyDescent="0.3">
      <c r="A96" s="247"/>
      <c r="B96" s="24" t="s">
        <v>12</v>
      </c>
      <c r="C96" s="79"/>
      <c r="D96" s="159"/>
      <c r="E96" s="159"/>
      <c r="F96" s="166"/>
      <c r="G96" s="165"/>
      <c r="H96" s="165"/>
      <c r="I96" s="165"/>
      <c r="J96" s="165"/>
      <c r="K96" s="165"/>
      <c r="L96" s="160"/>
    </row>
    <row r="97" spans="1:17" s="158" customFormat="1" ht="27.6" x14ac:dyDescent="0.3">
      <c r="A97" s="247"/>
      <c r="B97" s="24" t="s">
        <v>226</v>
      </c>
      <c r="C97" s="79" t="s">
        <v>33</v>
      </c>
      <c r="D97" s="159">
        <v>1.1100000000000001</v>
      </c>
      <c r="E97" s="159"/>
      <c r="F97" s="166"/>
      <c r="G97" s="166"/>
      <c r="H97" s="165"/>
      <c r="I97" s="165"/>
      <c r="J97" s="165"/>
      <c r="K97" s="165"/>
      <c r="L97" s="160"/>
    </row>
    <row r="98" spans="1:17" s="158" customFormat="1" thickBot="1" x14ac:dyDescent="0.35">
      <c r="A98" s="247"/>
      <c r="B98" s="24" t="s">
        <v>14</v>
      </c>
      <c r="C98" s="79" t="s">
        <v>15</v>
      </c>
      <c r="D98" s="159">
        <v>0.22</v>
      </c>
      <c r="E98" s="159"/>
      <c r="F98" s="313"/>
      <c r="G98" s="166"/>
      <c r="H98" s="165"/>
      <c r="I98" s="165"/>
      <c r="J98" s="165"/>
      <c r="K98" s="165"/>
      <c r="L98" s="160"/>
    </row>
    <row r="99" spans="1:17" s="158" customFormat="1" ht="42" customHeight="1" x14ac:dyDescent="0.3">
      <c r="A99" s="562">
        <v>3</v>
      </c>
      <c r="B99" s="137" t="s">
        <v>278</v>
      </c>
      <c r="C99" s="206" t="s">
        <v>33</v>
      </c>
      <c r="D99" s="206"/>
      <c r="E99" s="138">
        <f>E87</f>
        <v>296.39999999999998</v>
      </c>
      <c r="F99" s="312"/>
      <c r="G99" s="138"/>
      <c r="H99" s="138"/>
      <c r="I99" s="138"/>
      <c r="J99" s="138"/>
      <c r="K99" s="138"/>
      <c r="L99" s="139"/>
    </row>
    <row r="100" spans="1:17" s="158" customFormat="1" ht="13.8" x14ac:dyDescent="0.3">
      <c r="A100" s="172"/>
      <c r="B100" s="55" t="s">
        <v>8</v>
      </c>
      <c r="C100" s="179" t="s">
        <v>33</v>
      </c>
      <c r="D100" s="79">
        <v>1</v>
      </c>
      <c r="E100" s="56"/>
      <c r="F100" s="297"/>
      <c r="G100" s="56"/>
      <c r="H100" s="56"/>
      <c r="I100" s="56"/>
      <c r="J100" s="56"/>
      <c r="K100" s="56"/>
      <c r="L100" s="57"/>
    </row>
    <row r="101" spans="1:17" s="158" customFormat="1" ht="13.8" x14ac:dyDescent="0.3">
      <c r="A101" s="172"/>
      <c r="B101" s="55" t="s">
        <v>10</v>
      </c>
      <c r="C101" s="179" t="s">
        <v>15</v>
      </c>
      <c r="D101" s="79">
        <v>1</v>
      </c>
      <c r="E101" s="56"/>
      <c r="F101" s="297"/>
      <c r="G101" s="56"/>
      <c r="H101" s="56"/>
      <c r="I101" s="56"/>
      <c r="J101" s="58"/>
      <c r="K101" s="56"/>
      <c r="L101" s="57"/>
    </row>
    <row r="102" spans="1:17" s="158" customFormat="1" ht="13.8" x14ac:dyDescent="0.3">
      <c r="A102" s="172"/>
      <c r="B102" s="55" t="s">
        <v>12</v>
      </c>
      <c r="C102" s="179"/>
      <c r="D102" s="79"/>
      <c r="E102" s="56"/>
      <c r="F102" s="297"/>
      <c r="G102" s="56"/>
      <c r="H102" s="56"/>
      <c r="I102" s="56"/>
      <c r="J102" s="56"/>
      <c r="K102" s="56"/>
      <c r="L102" s="57"/>
    </row>
    <row r="103" spans="1:17" s="184" customFormat="1" x14ac:dyDescent="0.3">
      <c r="A103" s="120"/>
      <c r="B103" s="24" t="s">
        <v>269</v>
      </c>
      <c r="C103" s="121" t="s">
        <v>27</v>
      </c>
      <c r="D103" s="79">
        <f>(2.04+0.51*21.5)/100</f>
        <v>0.13005</v>
      </c>
      <c r="E103" s="122"/>
      <c r="F103" s="649"/>
      <c r="G103" s="166"/>
      <c r="H103" s="165"/>
      <c r="I103" s="165"/>
      <c r="J103" s="165"/>
      <c r="K103" s="165"/>
      <c r="L103" s="160"/>
      <c r="M103"/>
      <c r="N103"/>
      <c r="O103"/>
      <c r="P103"/>
      <c r="Q103"/>
    </row>
    <row r="104" spans="1:17" s="184" customFormat="1" x14ac:dyDescent="0.3">
      <c r="A104" s="272"/>
      <c r="B104" s="24" t="s">
        <v>122</v>
      </c>
      <c r="C104" s="273" t="s">
        <v>27</v>
      </c>
      <c r="D104" s="218">
        <f>0.061*1.23</f>
        <v>7.5029999999999999E-2</v>
      </c>
      <c r="E104" s="274"/>
      <c r="F104" s="649"/>
      <c r="G104" s="166"/>
      <c r="H104" s="201"/>
      <c r="I104" s="201"/>
      <c r="J104" s="201"/>
      <c r="K104" s="201"/>
      <c r="L104" s="160"/>
      <c r="M104"/>
      <c r="N104"/>
      <c r="O104"/>
      <c r="P104"/>
      <c r="Q104"/>
    </row>
    <row r="105" spans="1:17" s="184" customFormat="1" x14ac:dyDescent="0.3">
      <c r="A105" s="272"/>
      <c r="B105" s="24" t="s">
        <v>138</v>
      </c>
      <c r="C105" s="273" t="s">
        <v>228</v>
      </c>
      <c r="D105" s="218">
        <f>0.061*0.306</f>
        <v>1.8665999999999999E-2</v>
      </c>
      <c r="E105" s="274"/>
      <c r="F105" s="649"/>
      <c r="G105" s="166"/>
      <c r="H105" s="201"/>
      <c r="I105" s="201"/>
      <c r="J105" s="201"/>
      <c r="K105" s="201"/>
      <c r="L105" s="160"/>
      <c r="M105"/>
      <c r="N105"/>
      <c r="O105"/>
      <c r="P105"/>
      <c r="Q105"/>
    </row>
    <row r="106" spans="1:17" s="69" customFormat="1" ht="13.8" x14ac:dyDescent="0.3">
      <c r="A106" s="247"/>
      <c r="B106" s="24" t="s">
        <v>470</v>
      </c>
      <c r="C106" s="79" t="s">
        <v>33</v>
      </c>
      <c r="D106" s="79">
        <v>1.03</v>
      </c>
      <c r="E106" s="58"/>
      <c r="F106" s="297"/>
      <c r="G106" s="56"/>
      <c r="H106" s="58"/>
      <c r="I106" s="58"/>
      <c r="J106" s="58"/>
      <c r="K106" s="58"/>
      <c r="L106" s="57"/>
    </row>
    <row r="107" spans="1:17" s="208" customFormat="1" thickBot="1" x14ac:dyDescent="0.35">
      <c r="A107" s="563"/>
      <c r="B107" s="193" t="s">
        <v>14</v>
      </c>
      <c r="C107" s="207" t="s">
        <v>15</v>
      </c>
      <c r="D107" s="207">
        <v>0.11</v>
      </c>
      <c r="E107" s="143"/>
      <c r="F107" s="313"/>
      <c r="G107" s="143"/>
      <c r="H107" s="143"/>
      <c r="I107" s="143"/>
      <c r="J107" s="143"/>
      <c r="K107" s="143"/>
      <c r="L107" s="144"/>
    </row>
    <row r="108" spans="1:17" s="69" customFormat="1" ht="27.6" customHeight="1" x14ac:dyDescent="0.3">
      <c r="A108" s="561">
        <v>4</v>
      </c>
      <c r="B108" s="145" t="s">
        <v>224</v>
      </c>
      <c r="C108" s="146" t="s">
        <v>33</v>
      </c>
      <c r="D108" s="146"/>
      <c r="E108" s="147">
        <f>E99</f>
        <v>296.39999999999998</v>
      </c>
      <c r="F108" s="650"/>
      <c r="G108" s="147"/>
      <c r="H108" s="147"/>
      <c r="I108" s="147"/>
      <c r="J108" s="147"/>
      <c r="K108" s="147"/>
      <c r="L108" s="148"/>
    </row>
    <row r="109" spans="1:17" s="69" customFormat="1" ht="13.95" customHeight="1" x14ac:dyDescent="0.3">
      <c r="A109" s="247"/>
      <c r="B109" s="24" t="s">
        <v>8</v>
      </c>
      <c r="C109" s="79" t="s">
        <v>33</v>
      </c>
      <c r="D109" s="79">
        <v>1</v>
      </c>
      <c r="E109" s="58"/>
      <c r="F109" s="297"/>
      <c r="G109" s="56"/>
      <c r="H109" s="58"/>
      <c r="I109" s="58"/>
      <c r="J109" s="58"/>
      <c r="K109" s="58"/>
      <c r="L109" s="57"/>
    </row>
    <row r="110" spans="1:17" s="69" customFormat="1" ht="13.95" customHeight="1" x14ac:dyDescent="0.3">
      <c r="A110" s="247"/>
      <c r="B110" s="24" t="s">
        <v>10</v>
      </c>
      <c r="C110" s="79" t="s">
        <v>15</v>
      </c>
      <c r="D110" s="79">
        <f>0.08</f>
        <v>0.08</v>
      </c>
      <c r="E110" s="58"/>
      <c r="F110" s="297"/>
      <c r="G110" s="56"/>
      <c r="H110" s="58"/>
      <c r="I110" s="58"/>
      <c r="J110" s="58"/>
      <c r="K110" s="58"/>
      <c r="L110" s="57"/>
    </row>
    <row r="111" spans="1:17" s="69" customFormat="1" ht="13.95" customHeight="1" x14ac:dyDescent="0.3">
      <c r="A111" s="247"/>
      <c r="B111" s="24" t="s">
        <v>12</v>
      </c>
      <c r="C111" s="79"/>
      <c r="D111" s="79"/>
      <c r="E111" s="58"/>
      <c r="F111" s="297"/>
      <c r="G111" s="56"/>
      <c r="H111" s="58"/>
      <c r="I111" s="58"/>
      <c r="J111" s="58"/>
      <c r="K111" s="58"/>
      <c r="L111" s="57"/>
    </row>
    <row r="112" spans="1:17" s="69" customFormat="1" ht="24" customHeight="1" x14ac:dyDescent="0.3">
      <c r="A112" s="247"/>
      <c r="B112" s="24" t="s">
        <v>275</v>
      </c>
      <c r="C112" s="79" t="s">
        <v>33</v>
      </c>
      <c r="D112" s="79">
        <f>1.05</f>
        <v>1.05</v>
      </c>
      <c r="E112" s="58"/>
      <c r="F112" s="297"/>
      <c r="G112" s="56"/>
      <c r="H112" s="58"/>
      <c r="I112" s="58"/>
      <c r="J112" s="58"/>
      <c r="K112" s="58"/>
      <c r="L112" s="57"/>
      <c r="N112" s="69" t="s">
        <v>329</v>
      </c>
    </row>
    <row r="113" spans="1:16384" s="69" customFormat="1" ht="13.95" customHeight="1" x14ac:dyDescent="0.3">
      <c r="A113" s="247"/>
      <c r="B113" s="24" t="s">
        <v>335</v>
      </c>
      <c r="C113" s="79" t="s">
        <v>13</v>
      </c>
      <c r="D113" s="79">
        <v>5</v>
      </c>
      <c r="E113" s="58"/>
      <c r="F113" s="297"/>
      <c r="G113" s="56"/>
      <c r="H113" s="58"/>
      <c r="I113" s="58"/>
      <c r="J113" s="58"/>
      <c r="K113" s="58"/>
      <c r="L113" s="57"/>
    </row>
    <row r="114" spans="1:16384" s="69" customFormat="1" ht="13.95" customHeight="1" x14ac:dyDescent="0.3">
      <c r="A114" s="247"/>
      <c r="B114" s="24" t="s">
        <v>39</v>
      </c>
      <c r="C114" s="79" t="s">
        <v>13</v>
      </c>
      <c r="D114" s="79">
        <v>0.15</v>
      </c>
      <c r="E114" s="58"/>
      <c r="F114" s="297"/>
      <c r="G114" s="56"/>
      <c r="H114" s="58"/>
      <c r="I114" s="58"/>
      <c r="J114" s="58"/>
      <c r="K114" s="58"/>
      <c r="L114" s="57"/>
    </row>
    <row r="115" spans="1:16384" s="69" customFormat="1" ht="13.95" customHeight="1" thickBot="1" x14ac:dyDescent="0.35">
      <c r="A115" s="279"/>
      <c r="B115" s="98" t="s">
        <v>14</v>
      </c>
      <c r="C115" s="141" t="s">
        <v>15</v>
      </c>
      <c r="D115" s="141">
        <f>0.19</f>
        <v>0.19</v>
      </c>
      <c r="E115" s="142"/>
      <c r="F115" s="313"/>
      <c r="G115" s="143"/>
      <c r="H115" s="142"/>
      <c r="I115" s="142"/>
      <c r="J115" s="142"/>
      <c r="K115" s="142"/>
      <c r="L115" s="144"/>
      <c r="M115" s="551"/>
    </row>
    <row r="116" spans="1:16384" s="69" customFormat="1" ht="15" customHeight="1" thickBot="1" x14ac:dyDescent="0.35">
      <c r="A116" s="554"/>
      <c r="B116" s="197" t="s">
        <v>279</v>
      </c>
      <c r="C116" s="209"/>
      <c r="D116" s="209"/>
      <c r="E116" s="210"/>
      <c r="F116" s="209"/>
      <c r="G116" s="211"/>
      <c r="H116" s="210"/>
      <c r="I116" s="210"/>
      <c r="J116" s="210"/>
      <c r="K116" s="210"/>
      <c r="L116" s="212"/>
      <c r="M116" s="552"/>
      <c r="N116" s="318"/>
      <c r="O116" s="319"/>
      <c r="P116" s="319"/>
      <c r="Q116" s="320"/>
      <c r="R116" s="320"/>
      <c r="S116" s="321"/>
      <c r="T116" s="320"/>
      <c r="U116" s="320"/>
      <c r="V116" s="320"/>
      <c r="W116" s="320"/>
      <c r="X116" s="321"/>
      <c r="Y116" s="318"/>
      <c r="Z116" s="318"/>
      <c r="AA116" s="319"/>
      <c r="AB116" s="319"/>
      <c r="AC116" s="320"/>
      <c r="AD116" s="320"/>
      <c r="AE116" s="321"/>
      <c r="AF116" s="320"/>
      <c r="AG116" s="320"/>
      <c r="AH116" s="320"/>
      <c r="AI116" s="320"/>
      <c r="AJ116" s="321"/>
      <c r="AK116" s="318"/>
      <c r="AL116" s="318"/>
      <c r="AM116" s="319"/>
      <c r="AN116" s="319"/>
      <c r="AO116" s="320"/>
      <c r="AP116" s="320"/>
      <c r="AQ116" s="317"/>
      <c r="AR116" s="316"/>
      <c r="AS116" s="315"/>
      <c r="AT116" s="210"/>
      <c r="AU116" s="210"/>
      <c r="AV116" s="212"/>
      <c r="AW116" s="196"/>
      <c r="AX116" s="197"/>
      <c r="AY116" s="209"/>
      <c r="AZ116" s="209"/>
      <c r="BA116" s="210"/>
      <c r="BB116" s="210"/>
      <c r="BC116" s="211"/>
      <c r="BD116" s="210"/>
      <c r="BE116" s="210"/>
      <c r="BF116" s="210"/>
      <c r="BG116" s="210"/>
      <c r="BH116" s="212"/>
      <c r="BI116" s="196"/>
      <c r="BJ116" s="197"/>
      <c r="BK116" s="209"/>
      <c r="BL116" s="209"/>
      <c r="BM116" s="210"/>
      <c r="BN116" s="210"/>
      <c r="BO116" s="211"/>
      <c r="BP116" s="210"/>
      <c r="BQ116" s="210"/>
      <c r="BR116" s="210"/>
      <c r="BS116" s="210"/>
      <c r="BT116" s="212"/>
      <c r="BU116" s="196"/>
      <c r="BV116" s="197"/>
      <c r="BW116" s="209"/>
      <c r="BX116" s="209"/>
      <c r="BY116" s="210"/>
      <c r="BZ116" s="210"/>
      <c r="CA116" s="211"/>
      <c r="CB116" s="210"/>
      <c r="CC116" s="210"/>
      <c r="CD116" s="210"/>
      <c r="CE116" s="210"/>
      <c r="CF116" s="212"/>
      <c r="CG116" s="196"/>
      <c r="CH116" s="197"/>
      <c r="CI116" s="209"/>
      <c r="CJ116" s="209"/>
      <c r="CK116" s="210"/>
      <c r="CL116" s="210"/>
      <c r="CM116" s="211"/>
      <c r="CN116" s="210"/>
      <c r="CO116" s="210"/>
      <c r="CP116" s="210"/>
      <c r="CQ116" s="210"/>
      <c r="CR116" s="212"/>
      <c r="CS116" s="196"/>
      <c r="CT116" s="197"/>
      <c r="CU116" s="209"/>
      <c r="CV116" s="209"/>
      <c r="CW116" s="210"/>
      <c r="CX116" s="210"/>
      <c r="CY116" s="211"/>
      <c r="CZ116" s="210"/>
      <c r="DA116" s="210"/>
      <c r="DB116" s="210"/>
      <c r="DC116" s="210"/>
      <c r="DD116" s="212"/>
      <c r="DE116" s="196"/>
      <c r="DF116" s="197"/>
      <c r="DG116" s="209"/>
      <c r="DH116" s="209"/>
      <c r="DI116" s="210"/>
      <c r="DJ116" s="210"/>
      <c r="DK116" s="211"/>
      <c r="DL116" s="210"/>
      <c r="DM116" s="210"/>
      <c r="DN116" s="210"/>
      <c r="DO116" s="210"/>
      <c r="DP116" s="212"/>
      <c r="DQ116" s="196"/>
      <c r="DR116" s="197"/>
      <c r="DS116" s="209"/>
      <c r="DT116" s="209"/>
      <c r="DU116" s="210"/>
      <c r="DV116" s="210"/>
      <c r="DW116" s="211"/>
      <c r="DX116" s="210"/>
      <c r="DY116" s="210"/>
      <c r="DZ116" s="210"/>
      <c r="EA116" s="210"/>
      <c r="EB116" s="212"/>
      <c r="EC116" s="196"/>
      <c r="ED116" s="197"/>
      <c r="EE116" s="209"/>
      <c r="EF116" s="209"/>
      <c r="EG116" s="210"/>
      <c r="EH116" s="210"/>
      <c r="EI116" s="211"/>
      <c r="EJ116" s="210"/>
      <c r="EK116" s="210"/>
      <c r="EL116" s="210"/>
      <c r="EM116" s="210"/>
      <c r="EN116" s="212"/>
      <c r="EO116" s="196"/>
      <c r="EP116" s="197"/>
      <c r="EQ116" s="209"/>
      <c r="ER116" s="209"/>
      <c r="ES116" s="210"/>
      <c r="ET116" s="210"/>
      <c r="EU116" s="211"/>
      <c r="EV116" s="210"/>
      <c r="EW116" s="210"/>
      <c r="EX116" s="210"/>
      <c r="EY116" s="210"/>
      <c r="EZ116" s="212"/>
      <c r="FA116" s="196"/>
      <c r="FB116" s="197"/>
      <c r="FC116" s="209"/>
      <c r="FD116" s="209"/>
      <c r="FE116" s="210"/>
      <c r="FF116" s="210"/>
      <c r="FG116" s="211"/>
      <c r="FH116" s="210"/>
      <c r="FI116" s="210"/>
      <c r="FJ116" s="210"/>
      <c r="FK116" s="210"/>
      <c r="FL116" s="212"/>
      <c r="FM116" s="196"/>
      <c r="FN116" s="197"/>
      <c r="FO116" s="209"/>
      <c r="FP116" s="209"/>
      <c r="FQ116" s="210"/>
      <c r="FR116" s="210"/>
      <c r="FS116" s="211"/>
      <c r="FT116" s="210"/>
      <c r="FU116" s="210"/>
      <c r="FV116" s="210"/>
      <c r="FW116" s="210"/>
      <c r="FX116" s="212"/>
      <c r="FY116" s="196"/>
      <c r="FZ116" s="197"/>
      <c r="GA116" s="209"/>
      <c r="GB116" s="209"/>
      <c r="GC116" s="210"/>
      <c r="GD116" s="210"/>
      <c r="GE116" s="211"/>
      <c r="GF116" s="210"/>
      <c r="GG116" s="210"/>
      <c r="GH116" s="210"/>
      <c r="GI116" s="210"/>
      <c r="GJ116" s="212"/>
      <c r="GK116" s="196"/>
      <c r="GL116" s="197"/>
      <c r="GM116" s="209"/>
      <c r="GN116" s="209"/>
      <c r="GO116" s="210"/>
      <c r="GP116" s="210"/>
      <c r="GQ116" s="211"/>
      <c r="GR116" s="210"/>
      <c r="GS116" s="210"/>
      <c r="GT116" s="210"/>
      <c r="GU116" s="210"/>
      <c r="GV116" s="212"/>
      <c r="GW116" s="196"/>
      <c r="GX116" s="197"/>
      <c r="GY116" s="209"/>
      <c r="GZ116" s="209"/>
      <c r="HA116" s="210"/>
      <c r="HB116" s="210"/>
      <c r="HC116" s="211"/>
      <c r="HD116" s="210"/>
      <c r="HE116" s="210"/>
      <c r="HF116" s="210"/>
      <c r="HG116" s="210"/>
      <c r="HH116" s="212"/>
      <c r="HI116" s="196"/>
      <c r="HJ116" s="197"/>
      <c r="HK116" s="209"/>
      <c r="HL116" s="209"/>
      <c r="HM116" s="210"/>
      <c r="HN116" s="210"/>
      <c r="HO116" s="211"/>
      <c r="HP116" s="210"/>
      <c r="HQ116" s="210"/>
      <c r="HR116" s="210"/>
      <c r="HS116" s="210"/>
      <c r="HT116" s="212"/>
      <c r="HU116" s="196"/>
      <c r="HV116" s="197"/>
      <c r="HW116" s="209"/>
      <c r="HX116" s="209"/>
      <c r="HY116" s="210"/>
      <c r="HZ116" s="210"/>
      <c r="IA116" s="211"/>
      <c r="IB116" s="210"/>
      <c r="IC116" s="210"/>
      <c r="ID116" s="210"/>
      <c r="IE116" s="210"/>
      <c r="IF116" s="212"/>
      <c r="IG116" s="196"/>
      <c r="IH116" s="197"/>
      <c r="II116" s="209"/>
      <c r="IJ116" s="209"/>
      <c r="IK116" s="210"/>
      <c r="IL116" s="210"/>
      <c r="IM116" s="211"/>
      <c r="IN116" s="210"/>
      <c r="IO116" s="210"/>
      <c r="IP116" s="210"/>
      <c r="IQ116" s="210"/>
      <c r="IR116" s="212"/>
      <c r="IS116" s="196"/>
      <c r="IT116" s="197"/>
      <c r="IU116" s="209"/>
      <c r="IV116" s="209"/>
      <c r="IW116" s="210"/>
      <c r="IX116" s="210"/>
      <c r="IY116" s="211"/>
      <c r="IZ116" s="210"/>
      <c r="JA116" s="210"/>
      <c r="JB116" s="210"/>
      <c r="JC116" s="210"/>
      <c r="JD116" s="212"/>
      <c r="JE116" s="196"/>
      <c r="JF116" s="197"/>
      <c r="JG116" s="209"/>
      <c r="JH116" s="209"/>
      <c r="JI116" s="210"/>
      <c r="JJ116" s="210"/>
      <c r="JK116" s="211"/>
      <c r="JL116" s="210"/>
      <c r="JM116" s="210"/>
      <c r="JN116" s="210"/>
      <c r="JO116" s="210"/>
      <c r="JP116" s="212"/>
      <c r="JQ116" s="196"/>
      <c r="JR116" s="197"/>
      <c r="JS116" s="209"/>
      <c r="JT116" s="209"/>
      <c r="JU116" s="210"/>
      <c r="JV116" s="210"/>
      <c r="JW116" s="211"/>
      <c r="JX116" s="210"/>
      <c r="JY116" s="210"/>
      <c r="JZ116" s="210"/>
      <c r="KA116" s="210"/>
      <c r="KB116" s="212"/>
      <c r="KC116" s="196"/>
      <c r="KD116" s="197"/>
      <c r="KE116" s="209"/>
      <c r="KF116" s="209"/>
      <c r="KG116" s="210"/>
      <c r="KH116" s="210"/>
      <c r="KI116" s="211"/>
      <c r="KJ116" s="210"/>
      <c r="KK116" s="210"/>
      <c r="KL116" s="210"/>
      <c r="KM116" s="210"/>
      <c r="KN116" s="212"/>
      <c r="KO116" s="196"/>
      <c r="KP116" s="197"/>
      <c r="KQ116" s="209"/>
      <c r="KR116" s="209"/>
      <c r="KS116" s="210"/>
      <c r="KT116" s="210"/>
      <c r="KU116" s="211"/>
      <c r="KV116" s="210"/>
      <c r="KW116" s="210"/>
      <c r="KX116" s="210"/>
      <c r="KY116" s="210"/>
      <c r="KZ116" s="212"/>
      <c r="LA116" s="196"/>
      <c r="LB116" s="197"/>
      <c r="LC116" s="209"/>
      <c r="LD116" s="209"/>
      <c r="LE116" s="210"/>
      <c r="LF116" s="210"/>
      <c r="LG116" s="211"/>
      <c r="LH116" s="210"/>
      <c r="LI116" s="210"/>
      <c r="LJ116" s="210"/>
      <c r="LK116" s="210"/>
      <c r="LL116" s="212"/>
      <c r="LM116" s="196"/>
      <c r="LN116" s="197"/>
      <c r="LO116" s="209"/>
      <c r="LP116" s="209"/>
      <c r="LQ116" s="210"/>
      <c r="LR116" s="210"/>
      <c r="LS116" s="211"/>
      <c r="LT116" s="210"/>
      <c r="LU116" s="210"/>
      <c r="LV116" s="210"/>
      <c r="LW116" s="210"/>
      <c r="LX116" s="212"/>
      <c r="LY116" s="196"/>
      <c r="LZ116" s="197"/>
      <c r="MA116" s="209"/>
      <c r="MB116" s="209"/>
      <c r="MC116" s="210"/>
      <c r="MD116" s="210"/>
      <c r="ME116" s="211"/>
      <c r="MF116" s="210"/>
      <c r="MG116" s="210"/>
      <c r="MH116" s="210"/>
      <c r="MI116" s="210"/>
      <c r="MJ116" s="212"/>
      <c r="MK116" s="196"/>
      <c r="ML116" s="197"/>
      <c r="MM116" s="209"/>
      <c r="MN116" s="209"/>
      <c r="MO116" s="210"/>
      <c r="MP116" s="210"/>
      <c r="MQ116" s="211"/>
      <c r="MR116" s="210"/>
      <c r="MS116" s="210"/>
      <c r="MT116" s="210"/>
      <c r="MU116" s="210"/>
      <c r="MV116" s="212"/>
      <c r="MW116" s="196"/>
      <c r="MX116" s="197"/>
      <c r="MY116" s="209"/>
      <c r="MZ116" s="209"/>
      <c r="NA116" s="210"/>
      <c r="NB116" s="210"/>
      <c r="NC116" s="211"/>
      <c r="ND116" s="210"/>
      <c r="NE116" s="210"/>
      <c r="NF116" s="210"/>
      <c r="NG116" s="210"/>
      <c r="NH116" s="212"/>
      <c r="NI116" s="196"/>
      <c r="NJ116" s="197"/>
      <c r="NK116" s="209"/>
      <c r="NL116" s="209"/>
      <c r="NM116" s="210"/>
      <c r="NN116" s="210"/>
      <c r="NO116" s="211"/>
      <c r="NP116" s="210"/>
      <c r="NQ116" s="210"/>
      <c r="NR116" s="210"/>
      <c r="NS116" s="210"/>
      <c r="NT116" s="212"/>
      <c r="NU116" s="196"/>
      <c r="NV116" s="197"/>
      <c r="NW116" s="209"/>
      <c r="NX116" s="209"/>
      <c r="NY116" s="210"/>
      <c r="NZ116" s="210"/>
      <c r="OA116" s="211"/>
      <c r="OB116" s="210"/>
      <c r="OC116" s="210"/>
      <c r="OD116" s="210"/>
      <c r="OE116" s="210"/>
      <c r="OF116" s="212"/>
      <c r="OG116" s="196"/>
      <c r="OH116" s="197"/>
      <c r="OI116" s="209"/>
      <c r="OJ116" s="209"/>
      <c r="OK116" s="210"/>
      <c r="OL116" s="210"/>
      <c r="OM116" s="211"/>
      <c r="ON116" s="210"/>
      <c r="OO116" s="210"/>
      <c r="OP116" s="210"/>
      <c r="OQ116" s="210"/>
      <c r="OR116" s="212"/>
      <c r="OS116" s="196"/>
      <c r="OT116" s="197"/>
      <c r="OU116" s="209"/>
      <c r="OV116" s="209"/>
      <c r="OW116" s="210"/>
      <c r="OX116" s="210"/>
      <c r="OY116" s="211"/>
      <c r="OZ116" s="210"/>
      <c r="PA116" s="210"/>
      <c r="PB116" s="210"/>
      <c r="PC116" s="210"/>
      <c r="PD116" s="212"/>
      <c r="PE116" s="196"/>
      <c r="PF116" s="197"/>
      <c r="PG116" s="209"/>
      <c r="PH116" s="209"/>
      <c r="PI116" s="210"/>
      <c r="PJ116" s="210"/>
      <c r="PK116" s="211"/>
      <c r="PL116" s="210"/>
      <c r="PM116" s="210"/>
      <c r="PN116" s="210"/>
      <c r="PO116" s="210"/>
      <c r="PP116" s="212"/>
      <c r="PQ116" s="196"/>
      <c r="PR116" s="197"/>
      <c r="PS116" s="209"/>
      <c r="PT116" s="209"/>
      <c r="PU116" s="210"/>
      <c r="PV116" s="210"/>
      <c r="PW116" s="211"/>
      <c r="PX116" s="210"/>
      <c r="PY116" s="210"/>
      <c r="PZ116" s="210"/>
      <c r="QA116" s="210"/>
      <c r="QB116" s="212"/>
      <c r="QC116" s="196"/>
      <c r="QD116" s="197"/>
      <c r="QE116" s="209"/>
      <c r="QF116" s="209"/>
      <c r="QG116" s="210"/>
      <c r="QH116" s="210"/>
      <c r="QI116" s="211"/>
      <c r="QJ116" s="210"/>
      <c r="QK116" s="210"/>
      <c r="QL116" s="210"/>
      <c r="QM116" s="210"/>
      <c r="QN116" s="212"/>
      <c r="QO116" s="196"/>
      <c r="QP116" s="197"/>
      <c r="QQ116" s="209"/>
      <c r="QR116" s="209"/>
      <c r="QS116" s="210"/>
      <c r="QT116" s="210"/>
      <c r="QU116" s="211"/>
      <c r="QV116" s="210"/>
      <c r="QW116" s="210"/>
      <c r="QX116" s="210"/>
      <c r="QY116" s="210"/>
      <c r="QZ116" s="212"/>
      <c r="RA116" s="196"/>
      <c r="RB116" s="197"/>
      <c r="RC116" s="209"/>
      <c r="RD116" s="209"/>
      <c r="RE116" s="210"/>
      <c r="RF116" s="210"/>
      <c r="RG116" s="211"/>
      <c r="RH116" s="210"/>
      <c r="RI116" s="210"/>
      <c r="RJ116" s="210"/>
      <c r="RK116" s="210"/>
      <c r="RL116" s="212"/>
      <c r="RM116" s="196"/>
      <c r="RN116" s="197"/>
      <c r="RO116" s="209"/>
      <c r="RP116" s="209"/>
      <c r="RQ116" s="210"/>
      <c r="RR116" s="210"/>
      <c r="RS116" s="211"/>
      <c r="RT116" s="210"/>
      <c r="RU116" s="210"/>
      <c r="RV116" s="210"/>
      <c r="RW116" s="210"/>
      <c r="RX116" s="212"/>
      <c r="RY116" s="196"/>
      <c r="RZ116" s="197"/>
      <c r="SA116" s="209"/>
      <c r="SB116" s="209"/>
      <c r="SC116" s="210"/>
      <c r="SD116" s="210"/>
      <c r="SE116" s="211"/>
      <c r="SF116" s="210"/>
      <c r="SG116" s="210"/>
      <c r="SH116" s="210"/>
      <c r="SI116" s="210"/>
      <c r="SJ116" s="212"/>
      <c r="SK116" s="196"/>
      <c r="SL116" s="197"/>
      <c r="SM116" s="209"/>
      <c r="SN116" s="209"/>
      <c r="SO116" s="210"/>
      <c r="SP116" s="210"/>
      <c r="SQ116" s="211"/>
      <c r="SR116" s="210"/>
      <c r="SS116" s="210"/>
      <c r="ST116" s="210"/>
      <c r="SU116" s="210"/>
      <c r="SV116" s="212"/>
      <c r="SW116" s="196"/>
      <c r="SX116" s="197"/>
      <c r="SY116" s="209"/>
      <c r="SZ116" s="209"/>
      <c r="TA116" s="210"/>
      <c r="TB116" s="210"/>
      <c r="TC116" s="211"/>
      <c r="TD116" s="210"/>
      <c r="TE116" s="210"/>
      <c r="TF116" s="210"/>
      <c r="TG116" s="210"/>
      <c r="TH116" s="212"/>
      <c r="TI116" s="196"/>
      <c r="TJ116" s="197"/>
      <c r="TK116" s="209"/>
      <c r="TL116" s="209"/>
      <c r="TM116" s="210"/>
      <c r="TN116" s="210"/>
      <c r="TO116" s="211"/>
      <c r="TP116" s="210"/>
      <c r="TQ116" s="210"/>
      <c r="TR116" s="210"/>
      <c r="TS116" s="210"/>
      <c r="TT116" s="212"/>
      <c r="TU116" s="196"/>
      <c r="TV116" s="197"/>
      <c r="TW116" s="209"/>
      <c r="TX116" s="209"/>
      <c r="TY116" s="210"/>
      <c r="TZ116" s="210"/>
      <c r="UA116" s="211"/>
      <c r="UB116" s="210"/>
      <c r="UC116" s="210"/>
      <c r="UD116" s="210"/>
      <c r="UE116" s="210"/>
      <c r="UF116" s="212"/>
      <c r="UG116" s="196"/>
      <c r="UH116" s="197"/>
      <c r="UI116" s="209"/>
      <c r="UJ116" s="209"/>
      <c r="UK116" s="210"/>
      <c r="UL116" s="210"/>
      <c r="UM116" s="211"/>
      <c r="UN116" s="210"/>
      <c r="UO116" s="210"/>
      <c r="UP116" s="210"/>
      <c r="UQ116" s="210"/>
      <c r="UR116" s="212"/>
      <c r="US116" s="196"/>
      <c r="UT116" s="197"/>
      <c r="UU116" s="209"/>
      <c r="UV116" s="209"/>
      <c r="UW116" s="210"/>
      <c r="UX116" s="210"/>
      <c r="UY116" s="211"/>
      <c r="UZ116" s="210"/>
      <c r="VA116" s="210"/>
      <c r="VB116" s="210"/>
      <c r="VC116" s="210"/>
      <c r="VD116" s="212"/>
      <c r="VE116" s="196"/>
      <c r="VF116" s="197"/>
      <c r="VG116" s="209"/>
      <c r="VH116" s="209"/>
      <c r="VI116" s="210"/>
      <c r="VJ116" s="210"/>
      <c r="VK116" s="211"/>
      <c r="VL116" s="210"/>
      <c r="VM116" s="210"/>
      <c r="VN116" s="210"/>
      <c r="VO116" s="210"/>
      <c r="VP116" s="212"/>
      <c r="VQ116" s="196"/>
      <c r="VR116" s="197"/>
      <c r="VS116" s="209"/>
      <c r="VT116" s="209"/>
      <c r="VU116" s="210"/>
      <c r="VV116" s="210"/>
      <c r="VW116" s="211"/>
      <c r="VX116" s="210"/>
      <c r="VY116" s="210"/>
      <c r="VZ116" s="210"/>
      <c r="WA116" s="210"/>
      <c r="WB116" s="212"/>
      <c r="WC116" s="196"/>
      <c r="WD116" s="197"/>
      <c r="WE116" s="209"/>
      <c r="WF116" s="209"/>
      <c r="WG116" s="210"/>
      <c r="WH116" s="210"/>
      <c r="WI116" s="211"/>
      <c r="WJ116" s="210"/>
      <c r="WK116" s="210"/>
      <c r="WL116" s="210"/>
      <c r="WM116" s="210"/>
      <c r="WN116" s="212"/>
      <c r="WO116" s="196"/>
      <c r="WP116" s="197"/>
      <c r="WQ116" s="209"/>
      <c r="WR116" s="209"/>
      <c r="WS116" s="210"/>
      <c r="WT116" s="210"/>
      <c r="WU116" s="211"/>
      <c r="WV116" s="210"/>
      <c r="WW116" s="210"/>
      <c r="WX116" s="210"/>
      <c r="WY116" s="210"/>
      <c r="WZ116" s="212"/>
      <c r="XA116" s="196"/>
      <c r="XB116" s="197"/>
      <c r="XC116" s="209"/>
      <c r="XD116" s="209"/>
      <c r="XE116" s="210"/>
      <c r="XF116" s="210"/>
      <c r="XG116" s="211"/>
      <c r="XH116" s="210"/>
      <c r="XI116" s="210"/>
      <c r="XJ116" s="210"/>
      <c r="XK116" s="210"/>
      <c r="XL116" s="212"/>
      <c r="XM116" s="196"/>
      <c r="XN116" s="197"/>
      <c r="XO116" s="209"/>
      <c r="XP116" s="209"/>
      <c r="XQ116" s="210"/>
      <c r="XR116" s="210"/>
      <c r="XS116" s="211"/>
      <c r="XT116" s="210"/>
      <c r="XU116" s="210"/>
      <c r="XV116" s="210"/>
      <c r="XW116" s="210"/>
      <c r="XX116" s="212"/>
      <c r="XY116" s="196"/>
      <c r="XZ116" s="197"/>
      <c r="YA116" s="209"/>
      <c r="YB116" s="209"/>
      <c r="YC116" s="210"/>
      <c r="YD116" s="210"/>
      <c r="YE116" s="211"/>
      <c r="YF116" s="210"/>
      <c r="YG116" s="210"/>
      <c r="YH116" s="210"/>
      <c r="YI116" s="210"/>
      <c r="YJ116" s="212"/>
      <c r="YK116" s="196"/>
      <c r="YL116" s="197"/>
      <c r="YM116" s="209"/>
      <c r="YN116" s="209"/>
      <c r="YO116" s="210"/>
      <c r="YP116" s="210"/>
      <c r="YQ116" s="211"/>
      <c r="YR116" s="210"/>
      <c r="YS116" s="210"/>
      <c r="YT116" s="210"/>
      <c r="YU116" s="210"/>
      <c r="YV116" s="212"/>
      <c r="YW116" s="196"/>
      <c r="YX116" s="197"/>
      <c r="YY116" s="209"/>
      <c r="YZ116" s="209"/>
      <c r="ZA116" s="210"/>
      <c r="ZB116" s="210"/>
      <c r="ZC116" s="211"/>
      <c r="ZD116" s="210"/>
      <c r="ZE116" s="210"/>
      <c r="ZF116" s="210"/>
      <c r="ZG116" s="210"/>
      <c r="ZH116" s="212"/>
      <c r="ZI116" s="196"/>
      <c r="ZJ116" s="197"/>
      <c r="ZK116" s="209"/>
      <c r="ZL116" s="209"/>
      <c r="ZM116" s="210"/>
      <c r="ZN116" s="210"/>
      <c r="ZO116" s="211"/>
      <c r="ZP116" s="210"/>
      <c r="ZQ116" s="210"/>
      <c r="ZR116" s="210"/>
      <c r="ZS116" s="210"/>
      <c r="ZT116" s="212"/>
      <c r="ZU116" s="196"/>
      <c r="ZV116" s="197"/>
      <c r="ZW116" s="209"/>
      <c r="ZX116" s="209"/>
      <c r="ZY116" s="210"/>
      <c r="ZZ116" s="210"/>
      <c r="AAA116" s="211"/>
      <c r="AAB116" s="210"/>
      <c r="AAC116" s="210"/>
      <c r="AAD116" s="210"/>
      <c r="AAE116" s="210"/>
      <c r="AAF116" s="212"/>
      <c r="AAG116" s="196"/>
      <c r="AAH116" s="197"/>
      <c r="AAI116" s="209"/>
      <c r="AAJ116" s="209"/>
      <c r="AAK116" s="210"/>
      <c r="AAL116" s="210"/>
      <c r="AAM116" s="211"/>
      <c r="AAN116" s="210"/>
      <c r="AAO116" s="210"/>
      <c r="AAP116" s="210"/>
      <c r="AAQ116" s="210"/>
      <c r="AAR116" s="212"/>
      <c r="AAS116" s="196"/>
      <c r="AAT116" s="197"/>
      <c r="AAU116" s="209"/>
      <c r="AAV116" s="209"/>
      <c r="AAW116" s="210"/>
      <c r="AAX116" s="210"/>
      <c r="AAY116" s="211"/>
      <c r="AAZ116" s="210"/>
      <c r="ABA116" s="210"/>
      <c r="ABB116" s="210"/>
      <c r="ABC116" s="210"/>
      <c r="ABD116" s="212"/>
      <c r="ABE116" s="196"/>
      <c r="ABF116" s="197"/>
      <c r="ABG116" s="209"/>
      <c r="ABH116" s="209"/>
      <c r="ABI116" s="210"/>
      <c r="ABJ116" s="210"/>
      <c r="ABK116" s="211"/>
      <c r="ABL116" s="210"/>
      <c r="ABM116" s="210"/>
      <c r="ABN116" s="210"/>
      <c r="ABO116" s="210"/>
      <c r="ABP116" s="212"/>
      <c r="ABQ116" s="196"/>
      <c r="ABR116" s="197"/>
      <c r="ABS116" s="209"/>
      <c r="ABT116" s="209"/>
      <c r="ABU116" s="210"/>
      <c r="ABV116" s="210"/>
      <c r="ABW116" s="211"/>
      <c r="ABX116" s="210"/>
      <c r="ABY116" s="210"/>
      <c r="ABZ116" s="210"/>
      <c r="ACA116" s="210"/>
      <c r="ACB116" s="212"/>
      <c r="ACC116" s="196"/>
      <c r="ACD116" s="197"/>
      <c r="ACE116" s="209"/>
      <c r="ACF116" s="209"/>
      <c r="ACG116" s="210"/>
      <c r="ACH116" s="210"/>
      <c r="ACI116" s="211"/>
      <c r="ACJ116" s="210"/>
      <c r="ACK116" s="210"/>
      <c r="ACL116" s="210"/>
      <c r="ACM116" s="210"/>
      <c r="ACN116" s="212"/>
      <c r="ACO116" s="196"/>
      <c r="ACP116" s="197"/>
      <c r="ACQ116" s="209"/>
      <c r="ACR116" s="209"/>
      <c r="ACS116" s="210"/>
      <c r="ACT116" s="210"/>
      <c r="ACU116" s="211"/>
      <c r="ACV116" s="210"/>
      <c r="ACW116" s="210"/>
      <c r="ACX116" s="210"/>
      <c r="ACY116" s="210"/>
      <c r="ACZ116" s="212"/>
      <c r="ADA116" s="196"/>
      <c r="ADB116" s="197"/>
      <c r="ADC116" s="209"/>
      <c r="ADD116" s="209"/>
      <c r="ADE116" s="210"/>
      <c r="ADF116" s="210"/>
      <c r="ADG116" s="211"/>
      <c r="ADH116" s="210"/>
      <c r="ADI116" s="210"/>
      <c r="ADJ116" s="210"/>
      <c r="ADK116" s="210"/>
      <c r="ADL116" s="212"/>
      <c r="ADM116" s="196"/>
      <c r="ADN116" s="197"/>
      <c r="ADO116" s="209"/>
      <c r="ADP116" s="209"/>
      <c r="ADQ116" s="210"/>
      <c r="ADR116" s="210"/>
      <c r="ADS116" s="211"/>
      <c r="ADT116" s="210"/>
      <c r="ADU116" s="210"/>
      <c r="ADV116" s="210"/>
      <c r="ADW116" s="210"/>
      <c r="ADX116" s="212"/>
      <c r="ADY116" s="196"/>
      <c r="ADZ116" s="197"/>
      <c r="AEA116" s="209"/>
      <c r="AEB116" s="209"/>
      <c r="AEC116" s="210"/>
      <c r="AED116" s="210"/>
      <c r="AEE116" s="211"/>
      <c r="AEF116" s="210"/>
      <c r="AEG116" s="210"/>
      <c r="AEH116" s="210"/>
      <c r="AEI116" s="210"/>
      <c r="AEJ116" s="212"/>
      <c r="AEK116" s="196"/>
      <c r="AEL116" s="197"/>
      <c r="AEM116" s="209"/>
      <c r="AEN116" s="209"/>
      <c r="AEO116" s="210"/>
      <c r="AEP116" s="210"/>
      <c r="AEQ116" s="211"/>
      <c r="AER116" s="210"/>
      <c r="AES116" s="210"/>
      <c r="AET116" s="210"/>
      <c r="AEU116" s="210"/>
      <c r="AEV116" s="212"/>
      <c r="AEW116" s="196"/>
      <c r="AEX116" s="197"/>
      <c r="AEY116" s="209"/>
      <c r="AEZ116" s="209"/>
      <c r="AFA116" s="210"/>
      <c r="AFB116" s="210"/>
      <c r="AFC116" s="211"/>
      <c r="AFD116" s="210"/>
      <c r="AFE116" s="210"/>
      <c r="AFF116" s="210"/>
      <c r="AFG116" s="210"/>
      <c r="AFH116" s="212"/>
      <c r="AFI116" s="196"/>
      <c r="AFJ116" s="197"/>
      <c r="AFK116" s="209"/>
      <c r="AFL116" s="209"/>
      <c r="AFM116" s="210"/>
      <c r="AFN116" s="210"/>
      <c r="AFO116" s="211"/>
      <c r="AFP116" s="210"/>
      <c r="AFQ116" s="210"/>
      <c r="AFR116" s="210"/>
      <c r="AFS116" s="210"/>
      <c r="AFT116" s="212"/>
      <c r="AFU116" s="196"/>
      <c r="AFV116" s="197"/>
      <c r="AFW116" s="209"/>
      <c r="AFX116" s="209"/>
      <c r="AFY116" s="210"/>
      <c r="AFZ116" s="210"/>
      <c r="AGA116" s="211"/>
      <c r="AGB116" s="210"/>
      <c r="AGC116" s="210"/>
      <c r="AGD116" s="210"/>
      <c r="AGE116" s="210"/>
      <c r="AGF116" s="212"/>
      <c r="AGG116" s="196"/>
      <c r="AGH116" s="197"/>
      <c r="AGI116" s="209"/>
      <c r="AGJ116" s="209"/>
      <c r="AGK116" s="210"/>
      <c r="AGL116" s="210"/>
      <c r="AGM116" s="211"/>
      <c r="AGN116" s="210"/>
      <c r="AGO116" s="210"/>
      <c r="AGP116" s="210"/>
      <c r="AGQ116" s="210"/>
      <c r="AGR116" s="212"/>
      <c r="AGS116" s="196"/>
      <c r="AGT116" s="197"/>
      <c r="AGU116" s="209"/>
      <c r="AGV116" s="209"/>
      <c r="AGW116" s="210"/>
      <c r="AGX116" s="210"/>
      <c r="AGY116" s="211"/>
      <c r="AGZ116" s="210"/>
      <c r="AHA116" s="210"/>
      <c r="AHB116" s="210"/>
      <c r="AHC116" s="210"/>
      <c r="AHD116" s="212"/>
      <c r="AHE116" s="196"/>
      <c r="AHF116" s="197"/>
      <c r="AHG116" s="209"/>
      <c r="AHH116" s="209"/>
      <c r="AHI116" s="210"/>
      <c r="AHJ116" s="210"/>
      <c r="AHK116" s="211"/>
      <c r="AHL116" s="210"/>
      <c r="AHM116" s="210"/>
      <c r="AHN116" s="210"/>
      <c r="AHO116" s="210"/>
      <c r="AHP116" s="212"/>
      <c r="AHQ116" s="196"/>
      <c r="AHR116" s="197"/>
      <c r="AHS116" s="209"/>
      <c r="AHT116" s="209"/>
      <c r="AHU116" s="210"/>
      <c r="AHV116" s="210"/>
      <c r="AHW116" s="211"/>
      <c r="AHX116" s="210"/>
      <c r="AHY116" s="210"/>
      <c r="AHZ116" s="210"/>
      <c r="AIA116" s="210"/>
      <c r="AIB116" s="212"/>
      <c r="AIC116" s="196"/>
      <c r="AID116" s="197"/>
      <c r="AIE116" s="209"/>
      <c r="AIF116" s="209"/>
      <c r="AIG116" s="210"/>
      <c r="AIH116" s="210"/>
      <c r="AII116" s="211"/>
      <c r="AIJ116" s="210"/>
      <c r="AIK116" s="210"/>
      <c r="AIL116" s="210"/>
      <c r="AIM116" s="210"/>
      <c r="AIN116" s="212"/>
      <c r="AIO116" s="196"/>
      <c r="AIP116" s="197"/>
      <c r="AIQ116" s="209"/>
      <c r="AIR116" s="209"/>
      <c r="AIS116" s="210"/>
      <c r="AIT116" s="210"/>
      <c r="AIU116" s="211"/>
      <c r="AIV116" s="210"/>
      <c r="AIW116" s="210"/>
      <c r="AIX116" s="210"/>
      <c r="AIY116" s="210"/>
      <c r="AIZ116" s="212"/>
      <c r="AJA116" s="196"/>
      <c r="AJB116" s="197"/>
      <c r="AJC116" s="209"/>
      <c r="AJD116" s="209"/>
      <c r="AJE116" s="210"/>
      <c r="AJF116" s="210"/>
      <c r="AJG116" s="211"/>
      <c r="AJH116" s="210"/>
      <c r="AJI116" s="210"/>
      <c r="AJJ116" s="210"/>
      <c r="AJK116" s="210"/>
      <c r="AJL116" s="212"/>
      <c r="AJM116" s="196"/>
      <c r="AJN116" s="197"/>
      <c r="AJO116" s="209"/>
      <c r="AJP116" s="209"/>
      <c r="AJQ116" s="210"/>
      <c r="AJR116" s="210"/>
      <c r="AJS116" s="211"/>
      <c r="AJT116" s="210"/>
      <c r="AJU116" s="210"/>
      <c r="AJV116" s="210"/>
      <c r="AJW116" s="210"/>
      <c r="AJX116" s="212"/>
      <c r="AJY116" s="196"/>
      <c r="AJZ116" s="197"/>
      <c r="AKA116" s="209"/>
      <c r="AKB116" s="209"/>
      <c r="AKC116" s="210"/>
      <c r="AKD116" s="210"/>
      <c r="AKE116" s="211"/>
      <c r="AKF116" s="210"/>
      <c r="AKG116" s="210"/>
      <c r="AKH116" s="210"/>
      <c r="AKI116" s="210"/>
      <c r="AKJ116" s="212"/>
      <c r="AKK116" s="196"/>
      <c r="AKL116" s="197"/>
      <c r="AKM116" s="209"/>
      <c r="AKN116" s="209"/>
      <c r="AKO116" s="210"/>
      <c r="AKP116" s="210"/>
      <c r="AKQ116" s="211"/>
      <c r="AKR116" s="210"/>
      <c r="AKS116" s="210"/>
      <c r="AKT116" s="210"/>
      <c r="AKU116" s="210"/>
      <c r="AKV116" s="212"/>
      <c r="AKW116" s="196"/>
      <c r="AKX116" s="197"/>
      <c r="AKY116" s="209"/>
      <c r="AKZ116" s="209"/>
      <c r="ALA116" s="210"/>
      <c r="ALB116" s="210"/>
      <c r="ALC116" s="211"/>
      <c r="ALD116" s="210"/>
      <c r="ALE116" s="210"/>
      <c r="ALF116" s="210"/>
      <c r="ALG116" s="210"/>
      <c r="ALH116" s="212"/>
      <c r="ALI116" s="196"/>
      <c r="ALJ116" s="197"/>
      <c r="ALK116" s="209"/>
      <c r="ALL116" s="209"/>
      <c r="ALM116" s="210"/>
      <c r="ALN116" s="210"/>
      <c r="ALO116" s="211"/>
      <c r="ALP116" s="210"/>
      <c r="ALQ116" s="210"/>
      <c r="ALR116" s="210"/>
      <c r="ALS116" s="210"/>
      <c r="ALT116" s="212"/>
      <c r="ALU116" s="196"/>
      <c r="ALV116" s="197"/>
      <c r="ALW116" s="209"/>
      <c r="ALX116" s="209"/>
      <c r="ALY116" s="210"/>
      <c r="ALZ116" s="210"/>
      <c r="AMA116" s="211"/>
      <c r="AMB116" s="210"/>
      <c r="AMC116" s="210"/>
      <c r="AMD116" s="210"/>
      <c r="AME116" s="210"/>
      <c r="AMF116" s="212"/>
      <c r="AMG116" s="196"/>
      <c r="AMH116" s="197"/>
      <c r="AMI116" s="209"/>
      <c r="AMJ116" s="209"/>
      <c r="AMK116" s="210"/>
      <c r="AML116" s="210"/>
      <c r="AMM116" s="211"/>
      <c r="AMN116" s="210"/>
      <c r="AMO116" s="210"/>
      <c r="AMP116" s="210"/>
      <c r="AMQ116" s="210"/>
      <c r="AMR116" s="212"/>
      <c r="AMS116" s="196"/>
      <c r="AMT116" s="197"/>
      <c r="AMU116" s="209"/>
      <c r="AMV116" s="209"/>
      <c r="AMW116" s="210"/>
      <c r="AMX116" s="210"/>
      <c r="AMY116" s="211"/>
      <c r="AMZ116" s="210"/>
      <c r="ANA116" s="210"/>
      <c r="ANB116" s="210"/>
      <c r="ANC116" s="210"/>
      <c r="AND116" s="212"/>
      <c r="ANE116" s="196"/>
      <c r="ANF116" s="197"/>
      <c r="ANG116" s="209"/>
      <c r="ANH116" s="209"/>
      <c r="ANI116" s="210"/>
      <c r="ANJ116" s="210"/>
      <c r="ANK116" s="211"/>
      <c r="ANL116" s="210"/>
      <c r="ANM116" s="210"/>
      <c r="ANN116" s="210"/>
      <c r="ANO116" s="210"/>
      <c r="ANP116" s="212"/>
      <c r="ANQ116" s="196"/>
      <c r="ANR116" s="197"/>
      <c r="ANS116" s="209"/>
      <c r="ANT116" s="209"/>
      <c r="ANU116" s="210"/>
      <c r="ANV116" s="210"/>
      <c r="ANW116" s="211"/>
      <c r="ANX116" s="210"/>
      <c r="ANY116" s="210"/>
      <c r="ANZ116" s="210"/>
      <c r="AOA116" s="210"/>
      <c r="AOB116" s="212"/>
      <c r="AOC116" s="196"/>
      <c r="AOD116" s="197"/>
      <c r="AOE116" s="209"/>
      <c r="AOF116" s="209"/>
      <c r="AOG116" s="210"/>
      <c r="AOH116" s="210"/>
      <c r="AOI116" s="211"/>
      <c r="AOJ116" s="210"/>
      <c r="AOK116" s="210"/>
      <c r="AOL116" s="210"/>
      <c r="AOM116" s="210"/>
      <c r="AON116" s="212"/>
      <c r="AOO116" s="196"/>
      <c r="AOP116" s="197"/>
      <c r="AOQ116" s="209"/>
      <c r="AOR116" s="209"/>
      <c r="AOS116" s="210"/>
      <c r="AOT116" s="210"/>
      <c r="AOU116" s="211"/>
      <c r="AOV116" s="210"/>
      <c r="AOW116" s="210"/>
      <c r="AOX116" s="210"/>
      <c r="AOY116" s="210"/>
      <c r="AOZ116" s="212"/>
      <c r="APA116" s="196"/>
      <c r="APB116" s="197"/>
      <c r="APC116" s="209"/>
      <c r="APD116" s="209"/>
      <c r="APE116" s="210"/>
      <c r="APF116" s="210"/>
      <c r="APG116" s="211"/>
      <c r="APH116" s="210"/>
      <c r="API116" s="210"/>
      <c r="APJ116" s="210"/>
      <c r="APK116" s="210"/>
      <c r="APL116" s="212"/>
      <c r="APM116" s="196"/>
      <c r="APN116" s="197"/>
      <c r="APO116" s="209"/>
      <c r="APP116" s="209"/>
      <c r="APQ116" s="210"/>
      <c r="APR116" s="210"/>
      <c r="APS116" s="211"/>
      <c r="APT116" s="210"/>
      <c r="APU116" s="210"/>
      <c r="APV116" s="210"/>
      <c r="APW116" s="210"/>
      <c r="APX116" s="212"/>
      <c r="APY116" s="196"/>
      <c r="APZ116" s="197"/>
      <c r="AQA116" s="209"/>
      <c r="AQB116" s="209"/>
      <c r="AQC116" s="210"/>
      <c r="AQD116" s="210"/>
      <c r="AQE116" s="211"/>
      <c r="AQF116" s="210"/>
      <c r="AQG116" s="210"/>
      <c r="AQH116" s="210"/>
      <c r="AQI116" s="210"/>
      <c r="AQJ116" s="212"/>
      <c r="AQK116" s="196"/>
      <c r="AQL116" s="197"/>
      <c r="AQM116" s="209"/>
      <c r="AQN116" s="209"/>
      <c r="AQO116" s="210"/>
      <c r="AQP116" s="210"/>
      <c r="AQQ116" s="211"/>
      <c r="AQR116" s="210"/>
      <c r="AQS116" s="210"/>
      <c r="AQT116" s="210"/>
      <c r="AQU116" s="210"/>
      <c r="AQV116" s="212"/>
      <c r="AQW116" s="196"/>
      <c r="AQX116" s="197"/>
      <c r="AQY116" s="209"/>
      <c r="AQZ116" s="209"/>
      <c r="ARA116" s="210"/>
      <c r="ARB116" s="210"/>
      <c r="ARC116" s="211"/>
      <c r="ARD116" s="210"/>
      <c r="ARE116" s="210"/>
      <c r="ARF116" s="210"/>
      <c r="ARG116" s="210"/>
      <c r="ARH116" s="212"/>
      <c r="ARI116" s="196"/>
      <c r="ARJ116" s="197"/>
      <c r="ARK116" s="209"/>
      <c r="ARL116" s="209"/>
      <c r="ARM116" s="210"/>
      <c r="ARN116" s="210"/>
      <c r="ARO116" s="211"/>
      <c r="ARP116" s="210"/>
      <c r="ARQ116" s="210"/>
      <c r="ARR116" s="210"/>
      <c r="ARS116" s="210"/>
      <c r="ART116" s="212"/>
      <c r="ARU116" s="196"/>
      <c r="ARV116" s="197"/>
      <c r="ARW116" s="209"/>
      <c r="ARX116" s="209"/>
      <c r="ARY116" s="210"/>
      <c r="ARZ116" s="210"/>
      <c r="ASA116" s="211"/>
      <c r="ASB116" s="210"/>
      <c r="ASC116" s="210"/>
      <c r="ASD116" s="210"/>
      <c r="ASE116" s="210"/>
      <c r="ASF116" s="212"/>
      <c r="ASG116" s="196"/>
      <c r="ASH116" s="197"/>
      <c r="ASI116" s="209"/>
      <c r="ASJ116" s="209"/>
      <c r="ASK116" s="210"/>
      <c r="ASL116" s="210"/>
      <c r="ASM116" s="211"/>
      <c r="ASN116" s="210"/>
      <c r="ASO116" s="210"/>
      <c r="ASP116" s="210"/>
      <c r="ASQ116" s="210"/>
      <c r="ASR116" s="212"/>
      <c r="ASS116" s="196"/>
      <c r="AST116" s="197"/>
      <c r="ASU116" s="209"/>
      <c r="ASV116" s="209"/>
      <c r="ASW116" s="210"/>
      <c r="ASX116" s="210"/>
      <c r="ASY116" s="211"/>
      <c r="ASZ116" s="210"/>
      <c r="ATA116" s="210"/>
      <c r="ATB116" s="210"/>
      <c r="ATC116" s="210"/>
      <c r="ATD116" s="212"/>
      <c r="ATE116" s="196"/>
      <c r="ATF116" s="197"/>
      <c r="ATG116" s="209"/>
      <c r="ATH116" s="209"/>
      <c r="ATI116" s="210"/>
      <c r="ATJ116" s="210"/>
      <c r="ATK116" s="211"/>
      <c r="ATL116" s="210"/>
      <c r="ATM116" s="210"/>
      <c r="ATN116" s="210"/>
      <c r="ATO116" s="210"/>
      <c r="ATP116" s="212"/>
      <c r="ATQ116" s="196"/>
      <c r="ATR116" s="197"/>
      <c r="ATS116" s="209"/>
      <c r="ATT116" s="209"/>
      <c r="ATU116" s="210"/>
      <c r="ATV116" s="210"/>
      <c r="ATW116" s="211"/>
      <c r="ATX116" s="210"/>
      <c r="ATY116" s="210"/>
      <c r="ATZ116" s="210"/>
      <c r="AUA116" s="210"/>
      <c r="AUB116" s="212"/>
      <c r="AUC116" s="196"/>
      <c r="AUD116" s="197"/>
      <c r="AUE116" s="209"/>
      <c r="AUF116" s="209"/>
      <c r="AUG116" s="210"/>
      <c r="AUH116" s="210"/>
      <c r="AUI116" s="211"/>
      <c r="AUJ116" s="210"/>
      <c r="AUK116" s="210"/>
      <c r="AUL116" s="210"/>
      <c r="AUM116" s="210"/>
      <c r="AUN116" s="212"/>
      <c r="AUO116" s="196"/>
      <c r="AUP116" s="197"/>
      <c r="AUQ116" s="209"/>
      <c r="AUR116" s="209"/>
      <c r="AUS116" s="210"/>
      <c r="AUT116" s="210"/>
      <c r="AUU116" s="211"/>
      <c r="AUV116" s="210"/>
      <c r="AUW116" s="210"/>
      <c r="AUX116" s="210"/>
      <c r="AUY116" s="210"/>
      <c r="AUZ116" s="212"/>
      <c r="AVA116" s="196"/>
      <c r="AVB116" s="197"/>
      <c r="AVC116" s="209"/>
      <c r="AVD116" s="209"/>
      <c r="AVE116" s="210"/>
      <c r="AVF116" s="210"/>
      <c r="AVG116" s="211"/>
      <c r="AVH116" s="210"/>
      <c r="AVI116" s="210"/>
      <c r="AVJ116" s="210"/>
      <c r="AVK116" s="210"/>
      <c r="AVL116" s="212"/>
      <c r="AVM116" s="196"/>
      <c r="AVN116" s="197"/>
      <c r="AVO116" s="209"/>
      <c r="AVP116" s="209"/>
      <c r="AVQ116" s="210"/>
      <c r="AVR116" s="210"/>
      <c r="AVS116" s="211"/>
      <c r="AVT116" s="210"/>
      <c r="AVU116" s="210"/>
      <c r="AVV116" s="210"/>
      <c r="AVW116" s="210"/>
      <c r="AVX116" s="212"/>
      <c r="AVY116" s="196"/>
      <c r="AVZ116" s="197"/>
      <c r="AWA116" s="209"/>
      <c r="AWB116" s="209"/>
      <c r="AWC116" s="210"/>
      <c r="AWD116" s="210"/>
      <c r="AWE116" s="211"/>
      <c r="AWF116" s="210"/>
      <c r="AWG116" s="210"/>
      <c r="AWH116" s="210"/>
      <c r="AWI116" s="210"/>
      <c r="AWJ116" s="212"/>
      <c r="AWK116" s="196"/>
      <c r="AWL116" s="197"/>
      <c r="AWM116" s="209"/>
      <c r="AWN116" s="209"/>
      <c r="AWO116" s="210"/>
      <c r="AWP116" s="210"/>
      <c r="AWQ116" s="211"/>
      <c r="AWR116" s="210"/>
      <c r="AWS116" s="210"/>
      <c r="AWT116" s="210"/>
      <c r="AWU116" s="210"/>
      <c r="AWV116" s="212"/>
      <c r="AWW116" s="196"/>
      <c r="AWX116" s="197"/>
      <c r="AWY116" s="209"/>
      <c r="AWZ116" s="209"/>
      <c r="AXA116" s="210"/>
      <c r="AXB116" s="210"/>
      <c r="AXC116" s="211"/>
      <c r="AXD116" s="210"/>
      <c r="AXE116" s="210"/>
      <c r="AXF116" s="210"/>
      <c r="AXG116" s="210"/>
      <c r="AXH116" s="212"/>
      <c r="AXI116" s="196"/>
      <c r="AXJ116" s="197"/>
      <c r="AXK116" s="209"/>
      <c r="AXL116" s="209"/>
      <c r="AXM116" s="210"/>
      <c r="AXN116" s="210"/>
      <c r="AXO116" s="211"/>
      <c r="AXP116" s="210"/>
      <c r="AXQ116" s="210"/>
      <c r="AXR116" s="210"/>
      <c r="AXS116" s="210"/>
      <c r="AXT116" s="212"/>
      <c r="AXU116" s="196"/>
      <c r="AXV116" s="197"/>
      <c r="AXW116" s="209"/>
      <c r="AXX116" s="209"/>
      <c r="AXY116" s="210"/>
      <c r="AXZ116" s="210"/>
      <c r="AYA116" s="211"/>
      <c r="AYB116" s="210"/>
      <c r="AYC116" s="210"/>
      <c r="AYD116" s="210"/>
      <c r="AYE116" s="210"/>
      <c r="AYF116" s="212"/>
      <c r="AYG116" s="196"/>
      <c r="AYH116" s="197"/>
      <c r="AYI116" s="209"/>
      <c r="AYJ116" s="209"/>
      <c r="AYK116" s="210"/>
      <c r="AYL116" s="210"/>
      <c r="AYM116" s="211"/>
      <c r="AYN116" s="210"/>
      <c r="AYO116" s="210"/>
      <c r="AYP116" s="210"/>
      <c r="AYQ116" s="210"/>
      <c r="AYR116" s="212"/>
      <c r="AYS116" s="196"/>
      <c r="AYT116" s="197"/>
      <c r="AYU116" s="209"/>
      <c r="AYV116" s="209"/>
      <c r="AYW116" s="210"/>
      <c r="AYX116" s="210"/>
      <c r="AYY116" s="211"/>
      <c r="AYZ116" s="210"/>
      <c r="AZA116" s="210"/>
      <c r="AZB116" s="210"/>
      <c r="AZC116" s="210"/>
      <c r="AZD116" s="212"/>
      <c r="AZE116" s="196"/>
      <c r="AZF116" s="197"/>
      <c r="AZG116" s="209"/>
      <c r="AZH116" s="209"/>
      <c r="AZI116" s="210"/>
      <c r="AZJ116" s="210"/>
      <c r="AZK116" s="211"/>
      <c r="AZL116" s="210"/>
      <c r="AZM116" s="210"/>
      <c r="AZN116" s="210"/>
      <c r="AZO116" s="210"/>
      <c r="AZP116" s="212"/>
      <c r="AZQ116" s="196"/>
      <c r="AZR116" s="197"/>
      <c r="AZS116" s="209"/>
      <c r="AZT116" s="209"/>
      <c r="AZU116" s="210"/>
      <c r="AZV116" s="210"/>
      <c r="AZW116" s="211"/>
      <c r="AZX116" s="210"/>
      <c r="AZY116" s="210"/>
      <c r="AZZ116" s="210"/>
      <c r="BAA116" s="210"/>
      <c r="BAB116" s="212"/>
      <c r="BAC116" s="196"/>
      <c r="BAD116" s="197"/>
      <c r="BAE116" s="209"/>
      <c r="BAF116" s="209"/>
      <c r="BAG116" s="210"/>
      <c r="BAH116" s="210"/>
      <c r="BAI116" s="211"/>
      <c r="BAJ116" s="210"/>
      <c r="BAK116" s="210"/>
      <c r="BAL116" s="210"/>
      <c r="BAM116" s="210"/>
      <c r="BAN116" s="212"/>
      <c r="BAO116" s="196"/>
      <c r="BAP116" s="197"/>
      <c r="BAQ116" s="209"/>
      <c r="BAR116" s="209"/>
      <c r="BAS116" s="210"/>
      <c r="BAT116" s="210"/>
      <c r="BAU116" s="211"/>
      <c r="BAV116" s="210"/>
      <c r="BAW116" s="210"/>
      <c r="BAX116" s="210"/>
      <c r="BAY116" s="210"/>
      <c r="BAZ116" s="212"/>
      <c r="BBA116" s="196"/>
      <c r="BBB116" s="197"/>
      <c r="BBC116" s="209"/>
      <c r="BBD116" s="209"/>
      <c r="BBE116" s="210"/>
      <c r="BBF116" s="210"/>
      <c r="BBG116" s="211"/>
      <c r="BBH116" s="210"/>
      <c r="BBI116" s="210"/>
      <c r="BBJ116" s="210"/>
      <c r="BBK116" s="210"/>
      <c r="BBL116" s="212"/>
      <c r="BBM116" s="196"/>
      <c r="BBN116" s="197"/>
      <c r="BBO116" s="209"/>
      <c r="BBP116" s="209"/>
      <c r="BBQ116" s="210"/>
      <c r="BBR116" s="210"/>
      <c r="BBS116" s="211"/>
      <c r="BBT116" s="210"/>
      <c r="BBU116" s="210"/>
      <c r="BBV116" s="210"/>
      <c r="BBW116" s="210"/>
      <c r="BBX116" s="212"/>
      <c r="BBY116" s="196"/>
      <c r="BBZ116" s="197"/>
      <c r="BCA116" s="209"/>
      <c r="BCB116" s="209"/>
      <c r="BCC116" s="210"/>
      <c r="BCD116" s="210"/>
      <c r="BCE116" s="211"/>
      <c r="BCF116" s="210"/>
      <c r="BCG116" s="210"/>
      <c r="BCH116" s="210"/>
      <c r="BCI116" s="210"/>
      <c r="BCJ116" s="212"/>
      <c r="BCK116" s="196"/>
      <c r="BCL116" s="197"/>
      <c r="BCM116" s="209"/>
      <c r="BCN116" s="209"/>
      <c r="BCO116" s="210"/>
      <c r="BCP116" s="210"/>
      <c r="BCQ116" s="211"/>
      <c r="BCR116" s="210"/>
      <c r="BCS116" s="210"/>
      <c r="BCT116" s="210"/>
      <c r="BCU116" s="210"/>
      <c r="BCV116" s="212"/>
      <c r="BCW116" s="196"/>
      <c r="BCX116" s="197"/>
      <c r="BCY116" s="209"/>
      <c r="BCZ116" s="209"/>
      <c r="BDA116" s="210"/>
      <c r="BDB116" s="210"/>
      <c r="BDC116" s="211"/>
      <c r="BDD116" s="210"/>
      <c r="BDE116" s="210"/>
      <c r="BDF116" s="210"/>
      <c r="BDG116" s="210"/>
      <c r="BDH116" s="212"/>
      <c r="BDI116" s="196"/>
      <c r="BDJ116" s="197"/>
      <c r="BDK116" s="209"/>
      <c r="BDL116" s="209"/>
      <c r="BDM116" s="210"/>
      <c r="BDN116" s="210"/>
      <c r="BDO116" s="211"/>
      <c r="BDP116" s="210"/>
      <c r="BDQ116" s="210"/>
      <c r="BDR116" s="210"/>
      <c r="BDS116" s="210"/>
      <c r="BDT116" s="212"/>
      <c r="BDU116" s="196"/>
      <c r="BDV116" s="197"/>
      <c r="BDW116" s="209"/>
      <c r="BDX116" s="209"/>
      <c r="BDY116" s="210"/>
      <c r="BDZ116" s="210"/>
      <c r="BEA116" s="211"/>
      <c r="BEB116" s="210"/>
      <c r="BEC116" s="210"/>
      <c r="BED116" s="210"/>
      <c r="BEE116" s="210"/>
      <c r="BEF116" s="212"/>
      <c r="BEG116" s="196"/>
      <c r="BEH116" s="197"/>
      <c r="BEI116" s="209"/>
      <c r="BEJ116" s="209"/>
      <c r="BEK116" s="210"/>
      <c r="BEL116" s="210"/>
      <c r="BEM116" s="211"/>
      <c r="BEN116" s="210"/>
      <c r="BEO116" s="210"/>
      <c r="BEP116" s="210"/>
      <c r="BEQ116" s="210"/>
      <c r="BER116" s="212"/>
      <c r="BES116" s="196"/>
      <c r="BET116" s="197"/>
      <c r="BEU116" s="209"/>
      <c r="BEV116" s="209"/>
      <c r="BEW116" s="210"/>
      <c r="BEX116" s="210"/>
      <c r="BEY116" s="211"/>
      <c r="BEZ116" s="210"/>
      <c r="BFA116" s="210"/>
      <c r="BFB116" s="210"/>
      <c r="BFC116" s="210"/>
      <c r="BFD116" s="212"/>
      <c r="BFE116" s="196"/>
      <c r="BFF116" s="197"/>
      <c r="BFG116" s="209"/>
      <c r="BFH116" s="209"/>
      <c r="BFI116" s="210"/>
      <c r="BFJ116" s="210"/>
      <c r="BFK116" s="211"/>
      <c r="BFL116" s="210"/>
      <c r="BFM116" s="210"/>
      <c r="BFN116" s="210"/>
      <c r="BFO116" s="210"/>
      <c r="BFP116" s="212"/>
      <c r="BFQ116" s="196"/>
      <c r="BFR116" s="197"/>
      <c r="BFS116" s="209"/>
      <c r="BFT116" s="209"/>
      <c r="BFU116" s="210"/>
      <c r="BFV116" s="210"/>
      <c r="BFW116" s="211"/>
      <c r="BFX116" s="210"/>
      <c r="BFY116" s="210"/>
      <c r="BFZ116" s="210"/>
      <c r="BGA116" s="210"/>
      <c r="BGB116" s="212"/>
      <c r="BGC116" s="196"/>
      <c r="BGD116" s="197"/>
      <c r="BGE116" s="209"/>
      <c r="BGF116" s="209"/>
      <c r="BGG116" s="210"/>
      <c r="BGH116" s="210"/>
      <c r="BGI116" s="211"/>
      <c r="BGJ116" s="210"/>
      <c r="BGK116" s="210"/>
      <c r="BGL116" s="210"/>
      <c r="BGM116" s="210"/>
      <c r="BGN116" s="212"/>
      <c r="BGO116" s="196"/>
      <c r="BGP116" s="197"/>
      <c r="BGQ116" s="209"/>
      <c r="BGR116" s="209"/>
      <c r="BGS116" s="210"/>
      <c r="BGT116" s="210"/>
      <c r="BGU116" s="211"/>
      <c r="BGV116" s="210"/>
      <c r="BGW116" s="210"/>
      <c r="BGX116" s="210"/>
      <c r="BGY116" s="210"/>
      <c r="BGZ116" s="212"/>
      <c r="BHA116" s="196"/>
      <c r="BHB116" s="197"/>
      <c r="BHC116" s="209"/>
      <c r="BHD116" s="209"/>
      <c r="BHE116" s="210"/>
      <c r="BHF116" s="210"/>
      <c r="BHG116" s="211"/>
      <c r="BHH116" s="210"/>
      <c r="BHI116" s="210"/>
      <c r="BHJ116" s="210"/>
      <c r="BHK116" s="210"/>
      <c r="BHL116" s="212"/>
      <c r="BHM116" s="196"/>
      <c r="BHN116" s="197"/>
      <c r="BHO116" s="209"/>
      <c r="BHP116" s="209"/>
      <c r="BHQ116" s="210"/>
      <c r="BHR116" s="210"/>
      <c r="BHS116" s="211"/>
      <c r="BHT116" s="210"/>
      <c r="BHU116" s="210"/>
      <c r="BHV116" s="210"/>
      <c r="BHW116" s="210"/>
      <c r="BHX116" s="212"/>
      <c r="BHY116" s="196"/>
      <c r="BHZ116" s="197"/>
      <c r="BIA116" s="209"/>
      <c r="BIB116" s="209"/>
      <c r="BIC116" s="210"/>
      <c r="BID116" s="210"/>
      <c r="BIE116" s="211"/>
      <c r="BIF116" s="210"/>
      <c r="BIG116" s="210"/>
      <c r="BIH116" s="210"/>
      <c r="BII116" s="210"/>
      <c r="BIJ116" s="212"/>
      <c r="BIK116" s="196"/>
      <c r="BIL116" s="197"/>
      <c r="BIM116" s="209"/>
      <c r="BIN116" s="209"/>
      <c r="BIO116" s="210"/>
      <c r="BIP116" s="210"/>
      <c r="BIQ116" s="211"/>
      <c r="BIR116" s="210"/>
      <c r="BIS116" s="210"/>
      <c r="BIT116" s="210"/>
      <c r="BIU116" s="210"/>
      <c r="BIV116" s="212"/>
      <c r="BIW116" s="196"/>
      <c r="BIX116" s="197"/>
      <c r="BIY116" s="209"/>
      <c r="BIZ116" s="209"/>
      <c r="BJA116" s="210"/>
      <c r="BJB116" s="210"/>
      <c r="BJC116" s="211"/>
      <c r="BJD116" s="210"/>
      <c r="BJE116" s="210"/>
      <c r="BJF116" s="210"/>
      <c r="BJG116" s="210"/>
      <c r="BJH116" s="212"/>
      <c r="BJI116" s="196"/>
      <c r="BJJ116" s="197"/>
      <c r="BJK116" s="209"/>
      <c r="BJL116" s="209"/>
      <c r="BJM116" s="210"/>
      <c r="BJN116" s="210"/>
      <c r="BJO116" s="211"/>
      <c r="BJP116" s="210"/>
      <c r="BJQ116" s="210"/>
      <c r="BJR116" s="210"/>
      <c r="BJS116" s="210"/>
      <c r="BJT116" s="212"/>
      <c r="BJU116" s="196"/>
      <c r="BJV116" s="197"/>
      <c r="BJW116" s="209"/>
      <c r="BJX116" s="209"/>
      <c r="BJY116" s="210"/>
      <c r="BJZ116" s="210"/>
      <c r="BKA116" s="211"/>
      <c r="BKB116" s="210"/>
      <c r="BKC116" s="210"/>
      <c r="BKD116" s="210"/>
      <c r="BKE116" s="210"/>
      <c r="BKF116" s="212"/>
      <c r="BKG116" s="196"/>
      <c r="BKH116" s="197"/>
      <c r="BKI116" s="209"/>
      <c r="BKJ116" s="209"/>
      <c r="BKK116" s="210"/>
      <c r="BKL116" s="210"/>
      <c r="BKM116" s="211"/>
      <c r="BKN116" s="210"/>
      <c r="BKO116" s="210"/>
      <c r="BKP116" s="210"/>
      <c r="BKQ116" s="210"/>
      <c r="BKR116" s="212"/>
      <c r="BKS116" s="196"/>
      <c r="BKT116" s="197"/>
      <c r="BKU116" s="209"/>
      <c r="BKV116" s="209"/>
      <c r="BKW116" s="210"/>
      <c r="BKX116" s="210"/>
      <c r="BKY116" s="211"/>
      <c r="BKZ116" s="210"/>
      <c r="BLA116" s="210"/>
      <c r="BLB116" s="210"/>
      <c r="BLC116" s="210"/>
      <c r="BLD116" s="212"/>
      <c r="BLE116" s="196"/>
      <c r="BLF116" s="197"/>
      <c r="BLG116" s="209"/>
      <c r="BLH116" s="209"/>
      <c r="BLI116" s="210"/>
      <c r="BLJ116" s="210"/>
      <c r="BLK116" s="211"/>
      <c r="BLL116" s="210"/>
      <c r="BLM116" s="210"/>
      <c r="BLN116" s="210"/>
      <c r="BLO116" s="210"/>
      <c r="BLP116" s="212"/>
      <c r="BLQ116" s="196"/>
      <c r="BLR116" s="197"/>
      <c r="BLS116" s="209"/>
      <c r="BLT116" s="209"/>
      <c r="BLU116" s="210"/>
      <c r="BLV116" s="210"/>
      <c r="BLW116" s="211"/>
      <c r="BLX116" s="210"/>
      <c r="BLY116" s="210"/>
      <c r="BLZ116" s="210"/>
      <c r="BMA116" s="210"/>
      <c r="BMB116" s="212"/>
      <c r="BMC116" s="196"/>
      <c r="BMD116" s="197"/>
      <c r="BME116" s="209"/>
      <c r="BMF116" s="209"/>
      <c r="BMG116" s="210"/>
      <c r="BMH116" s="210"/>
      <c r="BMI116" s="211"/>
      <c r="BMJ116" s="210"/>
      <c r="BMK116" s="210"/>
      <c r="BML116" s="210"/>
      <c r="BMM116" s="210"/>
      <c r="BMN116" s="212"/>
      <c r="BMO116" s="196"/>
      <c r="BMP116" s="197"/>
      <c r="BMQ116" s="209"/>
      <c r="BMR116" s="209"/>
      <c r="BMS116" s="210"/>
      <c r="BMT116" s="210"/>
      <c r="BMU116" s="211"/>
      <c r="BMV116" s="210"/>
      <c r="BMW116" s="210"/>
      <c r="BMX116" s="210"/>
      <c r="BMY116" s="210"/>
      <c r="BMZ116" s="212"/>
      <c r="BNA116" s="196"/>
      <c r="BNB116" s="197"/>
      <c r="BNC116" s="209"/>
      <c r="BND116" s="209"/>
      <c r="BNE116" s="210"/>
      <c r="BNF116" s="210"/>
      <c r="BNG116" s="211"/>
      <c r="BNH116" s="210"/>
      <c r="BNI116" s="210"/>
      <c r="BNJ116" s="210"/>
      <c r="BNK116" s="210"/>
      <c r="BNL116" s="212"/>
      <c r="BNM116" s="196"/>
      <c r="BNN116" s="197"/>
      <c r="BNO116" s="209"/>
      <c r="BNP116" s="209"/>
      <c r="BNQ116" s="210"/>
      <c r="BNR116" s="210"/>
      <c r="BNS116" s="211"/>
      <c r="BNT116" s="210"/>
      <c r="BNU116" s="210"/>
      <c r="BNV116" s="210"/>
      <c r="BNW116" s="210"/>
      <c r="BNX116" s="212"/>
      <c r="BNY116" s="196"/>
      <c r="BNZ116" s="197"/>
      <c r="BOA116" s="209"/>
      <c r="BOB116" s="209"/>
      <c r="BOC116" s="210"/>
      <c r="BOD116" s="210"/>
      <c r="BOE116" s="211"/>
      <c r="BOF116" s="210"/>
      <c r="BOG116" s="210"/>
      <c r="BOH116" s="210"/>
      <c r="BOI116" s="210"/>
      <c r="BOJ116" s="212"/>
      <c r="BOK116" s="196"/>
      <c r="BOL116" s="197"/>
      <c r="BOM116" s="209"/>
      <c r="BON116" s="209"/>
      <c r="BOO116" s="210"/>
      <c r="BOP116" s="210"/>
      <c r="BOQ116" s="211"/>
      <c r="BOR116" s="210"/>
      <c r="BOS116" s="210"/>
      <c r="BOT116" s="210"/>
      <c r="BOU116" s="210"/>
      <c r="BOV116" s="212"/>
      <c r="BOW116" s="196"/>
      <c r="BOX116" s="197"/>
      <c r="BOY116" s="209"/>
      <c r="BOZ116" s="209"/>
      <c r="BPA116" s="210"/>
      <c r="BPB116" s="210"/>
      <c r="BPC116" s="211"/>
      <c r="BPD116" s="210"/>
      <c r="BPE116" s="210"/>
      <c r="BPF116" s="210"/>
      <c r="BPG116" s="210"/>
      <c r="BPH116" s="212"/>
      <c r="BPI116" s="196"/>
      <c r="BPJ116" s="197"/>
      <c r="BPK116" s="209"/>
      <c r="BPL116" s="209"/>
      <c r="BPM116" s="210"/>
      <c r="BPN116" s="210"/>
      <c r="BPO116" s="211"/>
      <c r="BPP116" s="210"/>
      <c r="BPQ116" s="210"/>
      <c r="BPR116" s="210"/>
      <c r="BPS116" s="210"/>
      <c r="BPT116" s="212"/>
      <c r="BPU116" s="196"/>
      <c r="BPV116" s="197"/>
      <c r="BPW116" s="209"/>
      <c r="BPX116" s="209"/>
      <c r="BPY116" s="210"/>
      <c r="BPZ116" s="210"/>
      <c r="BQA116" s="211"/>
      <c r="BQB116" s="210"/>
      <c r="BQC116" s="210"/>
      <c r="BQD116" s="210"/>
      <c r="BQE116" s="210"/>
      <c r="BQF116" s="212"/>
      <c r="BQG116" s="196"/>
      <c r="BQH116" s="197"/>
      <c r="BQI116" s="209"/>
      <c r="BQJ116" s="209"/>
      <c r="BQK116" s="210"/>
      <c r="BQL116" s="210"/>
      <c r="BQM116" s="211"/>
      <c r="BQN116" s="210"/>
      <c r="BQO116" s="210"/>
      <c r="BQP116" s="210"/>
      <c r="BQQ116" s="210"/>
      <c r="BQR116" s="212"/>
      <c r="BQS116" s="196"/>
      <c r="BQT116" s="197"/>
      <c r="BQU116" s="209"/>
      <c r="BQV116" s="209"/>
      <c r="BQW116" s="210"/>
      <c r="BQX116" s="210"/>
      <c r="BQY116" s="211"/>
      <c r="BQZ116" s="210"/>
      <c r="BRA116" s="210"/>
      <c r="BRB116" s="210"/>
      <c r="BRC116" s="210"/>
      <c r="BRD116" s="212"/>
      <c r="BRE116" s="196"/>
      <c r="BRF116" s="197"/>
      <c r="BRG116" s="209"/>
      <c r="BRH116" s="209"/>
      <c r="BRI116" s="210"/>
      <c r="BRJ116" s="210"/>
      <c r="BRK116" s="211"/>
      <c r="BRL116" s="210"/>
      <c r="BRM116" s="210"/>
      <c r="BRN116" s="210"/>
      <c r="BRO116" s="210"/>
      <c r="BRP116" s="212"/>
      <c r="BRQ116" s="196"/>
      <c r="BRR116" s="197"/>
      <c r="BRS116" s="209"/>
      <c r="BRT116" s="209"/>
      <c r="BRU116" s="210"/>
      <c r="BRV116" s="210"/>
      <c r="BRW116" s="211"/>
      <c r="BRX116" s="210"/>
      <c r="BRY116" s="210"/>
      <c r="BRZ116" s="210"/>
      <c r="BSA116" s="210"/>
      <c r="BSB116" s="212"/>
      <c r="BSC116" s="196"/>
      <c r="BSD116" s="197"/>
      <c r="BSE116" s="209"/>
      <c r="BSF116" s="209"/>
      <c r="BSG116" s="210"/>
      <c r="BSH116" s="210"/>
      <c r="BSI116" s="211"/>
      <c r="BSJ116" s="210"/>
      <c r="BSK116" s="210"/>
      <c r="BSL116" s="210"/>
      <c r="BSM116" s="210"/>
      <c r="BSN116" s="212"/>
      <c r="BSO116" s="196"/>
      <c r="BSP116" s="197"/>
      <c r="BSQ116" s="209"/>
      <c r="BSR116" s="209"/>
      <c r="BSS116" s="210"/>
      <c r="BST116" s="210"/>
      <c r="BSU116" s="211"/>
      <c r="BSV116" s="210"/>
      <c r="BSW116" s="210"/>
      <c r="BSX116" s="210"/>
      <c r="BSY116" s="210"/>
      <c r="BSZ116" s="212"/>
      <c r="BTA116" s="196"/>
      <c r="BTB116" s="197"/>
      <c r="BTC116" s="209"/>
      <c r="BTD116" s="209"/>
      <c r="BTE116" s="210"/>
      <c r="BTF116" s="210"/>
      <c r="BTG116" s="211"/>
      <c r="BTH116" s="210"/>
      <c r="BTI116" s="210"/>
      <c r="BTJ116" s="210"/>
      <c r="BTK116" s="210"/>
      <c r="BTL116" s="212"/>
      <c r="BTM116" s="196"/>
      <c r="BTN116" s="197"/>
      <c r="BTO116" s="209"/>
      <c r="BTP116" s="209"/>
      <c r="BTQ116" s="210"/>
      <c r="BTR116" s="210"/>
      <c r="BTS116" s="211"/>
      <c r="BTT116" s="210"/>
      <c r="BTU116" s="210"/>
      <c r="BTV116" s="210"/>
      <c r="BTW116" s="210"/>
      <c r="BTX116" s="212"/>
      <c r="BTY116" s="196"/>
      <c r="BTZ116" s="197"/>
      <c r="BUA116" s="209"/>
      <c r="BUB116" s="209"/>
      <c r="BUC116" s="210"/>
      <c r="BUD116" s="210"/>
      <c r="BUE116" s="211"/>
      <c r="BUF116" s="210"/>
      <c r="BUG116" s="210"/>
      <c r="BUH116" s="210"/>
      <c r="BUI116" s="210"/>
      <c r="BUJ116" s="212"/>
      <c r="BUK116" s="196"/>
      <c r="BUL116" s="197"/>
      <c r="BUM116" s="209"/>
      <c r="BUN116" s="209"/>
      <c r="BUO116" s="210"/>
      <c r="BUP116" s="210"/>
      <c r="BUQ116" s="211"/>
      <c r="BUR116" s="210"/>
      <c r="BUS116" s="210"/>
      <c r="BUT116" s="210"/>
      <c r="BUU116" s="210"/>
      <c r="BUV116" s="212"/>
      <c r="BUW116" s="196"/>
      <c r="BUX116" s="197"/>
      <c r="BUY116" s="209"/>
      <c r="BUZ116" s="209"/>
      <c r="BVA116" s="210"/>
      <c r="BVB116" s="210"/>
      <c r="BVC116" s="211"/>
      <c r="BVD116" s="210"/>
      <c r="BVE116" s="210"/>
      <c r="BVF116" s="210"/>
      <c r="BVG116" s="210"/>
      <c r="BVH116" s="212"/>
      <c r="BVI116" s="196"/>
      <c r="BVJ116" s="197"/>
      <c r="BVK116" s="209"/>
      <c r="BVL116" s="209"/>
      <c r="BVM116" s="210"/>
      <c r="BVN116" s="210"/>
      <c r="BVO116" s="211"/>
      <c r="BVP116" s="210"/>
      <c r="BVQ116" s="210"/>
      <c r="BVR116" s="210"/>
      <c r="BVS116" s="210"/>
      <c r="BVT116" s="212"/>
      <c r="BVU116" s="196"/>
      <c r="BVV116" s="197"/>
      <c r="BVW116" s="209"/>
      <c r="BVX116" s="209"/>
      <c r="BVY116" s="210"/>
      <c r="BVZ116" s="210"/>
      <c r="BWA116" s="211"/>
      <c r="BWB116" s="210"/>
      <c r="BWC116" s="210"/>
      <c r="BWD116" s="210"/>
      <c r="BWE116" s="210"/>
      <c r="BWF116" s="212"/>
      <c r="BWG116" s="196"/>
      <c r="BWH116" s="197"/>
      <c r="BWI116" s="209"/>
      <c r="BWJ116" s="209"/>
      <c r="BWK116" s="210"/>
      <c r="BWL116" s="210"/>
      <c r="BWM116" s="211"/>
      <c r="BWN116" s="210"/>
      <c r="BWO116" s="210"/>
      <c r="BWP116" s="210"/>
      <c r="BWQ116" s="210"/>
      <c r="BWR116" s="212"/>
      <c r="BWS116" s="196"/>
      <c r="BWT116" s="197"/>
      <c r="BWU116" s="209"/>
      <c r="BWV116" s="209"/>
      <c r="BWW116" s="210"/>
      <c r="BWX116" s="210"/>
      <c r="BWY116" s="211"/>
      <c r="BWZ116" s="210"/>
      <c r="BXA116" s="210"/>
      <c r="BXB116" s="210"/>
      <c r="BXC116" s="210"/>
      <c r="BXD116" s="212"/>
      <c r="BXE116" s="196"/>
      <c r="BXF116" s="197"/>
      <c r="BXG116" s="209"/>
      <c r="BXH116" s="209"/>
      <c r="BXI116" s="210"/>
      <c r="BXJ116" s="210"/>
      <c r="BXK116" s="211"/>
      <c r="BXL116" s="210"/>
      <c r="BXM116" s="210"/>
      <c r="BXN116" s="210"/>
      <c r="BXO116" s="210"/>
      <c r="BXP116" s="212"/>
      <c r="BXQ116" s="196"/>
      <c r="BXR116" s="197"/>
      <c r="BXS116" s="209"/>
      <c r="BXT116" s="209"/>
      <c r="BXU116" s="210"/>
      <c r="BXV116" s="210"/>
      <c r="BXW116" s="211"/>
      <c r="BXX116" s="210"/>
      <c r="BXY116" s="210"/>
      <c r="BXZ116" s="210"/>
      <c r="BYA116" s="210"/>
      <c r="BYB116" s="212"/>
      <c r="BYC116" s="196"/>
      <c r="BYD116" s="197"/>
      <c r="BYE116" s="209"/>
      <c r="BYF116" s="209"/>
      <c r="BYG116" s="210"/>
      <c r="BYH116" s="210"/>
      <c r="BYI116" s="211"/>
      <c r="BYJ116" s="210"/>
      <c r="BYK116" s="210"/>
      <c r="BYL116" s="210"/>
      <c r="BYM116" s="210"/>
      <c r="BYN116" s="212"/>
      <c r="BYO116" s="196"/>
      <c r="BYP116" s="197"/>
      <c r="BYQ116" s="209"/>
      <c r="BYR116" s="209"/>
      <c r="BYS116" s="210"/>
      <c r="BYT116" s="210"/>
      <c r="BYU116" s="211"/>
      <c r="BYV116" s="210"/>
      <c r="BYW116" s="210"/>
      <c r="BYX116" s="210"/>
      <c r="BYY116" s="210"/>
      <c r="BYZ116" s="212"/>
      <c r="BZA116" s="196"/>
      <c r="BZB116" s="197"/>
      <c r="BZC116" s="209"/>
      <c r="BZD116" s="209"/>
      <c r="BZE116" s="210"/>
      <c r="BZF116" s="210"/>
      <c r="BZG116" s="211"/>
      <c r="BZH116" s="210"/>
      <c r="BZI116" s="210"/>
      <c r="BZJ116" s="210"/>
      <c r="BZK116" s="210"/>
      <c r="BZL116" s="212"/>
      <c r="BZM116" s="196"/>
      <c r="BZN116" s="197"/>
      <c r="BZO116" s="209"/>
      <c r="BZP116" s="209"/>
      <c r="BZQ116" s="210"/>
      <c r="BZR116" s="210"/>
      <c r="BZS116" s="211"/>
      <c r="BZT116" s="210"/>
      <c r="BZU116" s="210"/>
      <c r="BZV116" s="210"/>
      <c r="BZW116" s="210"/>
      <c r="BZX116" s="212"/>
      <c r="BZY116" s="196"/>
      <c r="BZZ116" s="197"/>
      <c r="CAA116" s="209"/>
      <c r="CAB116" s="209"/>
      <c r="CAC116" s="210"/>
      <c r="CAD116" s="210"/>
      <c r="CAE116" s="211"/>
      <c r="CAF116" s="210"/>
      <c r="CAG116" s="210"/>
      <c r="CAH116" s="210"/>
      <c r="CAI116" s="210"/>
      <c r="CAJ116" s="212"/>
      <c r="CAK116" s="196"/>
      <c r="CAL116" s="197"/>
      <c r="CAM116" s="209"/>
      <c r="CAN116" s="209"/>
      <c r="CAO116" s="210"/>
      <c r="CAP116" s="210"/>
      <c r="CAQ116" s="211"/>
      <c r="CAR116" s="210"/>
      <c r="CAS116" s="210"/>
      <c r="CAT116" s="210"/>
      <c r="CAU116" s="210"/>
      <c r="CAV116" s="212"/>
      <c r="CAW116" s="196"/>
      <c r="CAX116" s="197"/>
      <c r="CAY116" s="209"/>
      <c r="CAZ116" s="209"/>
      <c r="CBA116" s="210"/>
      <c r="CBB116" s="210"/>
      <c r="CBC116" s="211"/>
      <c r="CBD116" s="210"/>
      <c r="CBE116" s="210"/>
      <c r="CBF116" s="210"/>
      <c r="CBG116" s="210"/>
      <c r="CBH116" s="212"/>
      <c r="CBI116" s="196"/>
      <c r="CBJ116" s="197"/>
      <c r="CBK116" s="209"/>
      <c r="CBL116" s="209"/>
      <c r="CBM116" s="210"/>
      <c r="CBN116" s="210"/>
      <c r="CBO116" s="211"/>
      <c r="CBP116" s="210"/>
      <c r="CBQ116" s="210"/>
      <c r="CBR116" s="210"/>
      <c r="CBS116" s="210"/>
      <c r="CBT116" s="212"/>
      <c r="CBU116" s="196"/>
      <c r="CBV116" s="197"/>
      <c r="CBW116" s="209"/>
      <c r="CBX116" s="209"/>
      <c r="CBY116" s="210"/>
      <c r="CBZ116" s="210"/>
      <c r="CCA116" s="211"/>
      <c r="CCB116" s="210"/>
      <c r="CCC116" s="210"/>
      <c r="CCD116" s="210"/>
      <c r="CCE116" s="210"/>
      <c r="CCF116" s="212"/>
      <c r="CCG116" s="196"/>
      <c r="CCH116" s="197"/>
      <c r="CCI116" s="209"/>
      <c r="CCJ116" s="209"/>
      <c r="CCK116" s="210"/>
      <c r="CCL116" s="210"/>
      <c r="CCM116" s="211"/>
      <c r="CCN116" s="210"/>
      <c r="CCO116" s="210"/>
      <c r="CCP116" s="210"/>
      <c r="CCQ116" s="210"/>
      <c r="CCR116" s="212"/>
      <c r="CCS116" s="196"/>
      <c r="CCT116" s="197"/>
      <c r="CCU116" s="209"/>
      <c r="CCV116" s="209"/>
      <c r="CCW116" s="210"/>
      <c r="CCX116" s="210"/>
      <c r="CCY116" s="211"/>
      <c r="CCZ116" s="210"/>
      <c r="CDA116" s="210"/>
      <c r="CDB116" s="210"/>
      <c r="CDC116" s="210"/>
      <c r="CDD116" s="212"/>
      <c r="CDE116" s="196"/>
      <c r="CDF116" s="197"/>
      <c r="CDG116" s="209"/>
      <c r="CDH116" s="209"/>
      <c r="CDI116" s="210"/>
      <c r="CDJ116" s="210"/>
      <c r="CDK116" s="211"/>
      <c r="CDL116" s="210"/>
      <c r="CDM116" s="210"/>
      <c r="CDN116" s="210"/>
      <c r="CDO116" s="210"/>
      <c r="CDP116" s="212"/>
      <c r="CDQ116" s="196"/>
      <c r="CDR116" s="197"/>
      <c r="CDS116" s="209"/>
      <c r="CDT116" s="209"/>
      <c r="CDU116" s="210"/>
      <c r="CDV116" s="210"/>
      <c r="CDW116" s="211"/>
      <c r="CDX116" s="210"/>
      <c r="CDY116" s="210"/>
      <c r="CDZ116" s="210"/>
      <c r="CEA116" s="210"/>
      <c r="CEB116" s="212"/>
      <c r="CEC116" s="196"/>
      <c r="CED116" s="197"/>
      <c r="CEE116" s="209"/>
      <c r="CEF116" s="209"/>
      <c r="CEG116" s="210"/>
      <c r="CEH116" s="210"/>
      <c r="CEI116" s="211"/>
      <c r="CEJ116" s="210"/>
      <c r="CEK116" s="210"/>
      <c r="CEL116" s="210"/>
      <c r="CEM116" s="210"/>
      <c r="CEN116" s="212"/>
      <c r="CEO116" s="196"/>
      <c r="CEP116" s="197"/>
      <c r="CEQ116" s="209"/>
      <c r="CER116" s="209"/>
      <c r="CES116" s="210"/>
      <c r="CET116" s="210"/>
      <c r="CEU116" s="211"/>
      <c r="CEV116" s="210"/>
      <c r="CEW116" s="210"/>
      <c r="CEX116" s="210"/>
      <c r="CEY116" s="210"/>
      <c r="CEZ116" s="212"/>
      <c r="CFA116" s="196"/>
      <c r="CFB116" s="197"/>
      <c r="CFC116" s="209"/>
      <c r="CFD116" s="209"/>
      <c r="CFE116" s="210"/>
      <c r="CFF116" s="210"/>
      <c r="CFG116" s="211"/>
      <c r="CFH116" s="210"/>
      <c r="CFI116" s="210"/>
      <c r="CFJ116" s="210"/>
      <c r="CFK116" s="210"/>
      <c r="CFL116" s="212"/>
      <c r="CFM116" s="196"/>
      <c r="CFN116" s="197"/>
      <c r="CFO116" s="209"/>
      <c r="CFP116" s="209"/>
      <c r="CFQ116" s="210"/>
      <c r="CFR116" s="210"/>
      <c r="CFS116" s="211"/>
      <c r="CFT116" s="210"/>
      <c r="CFU116" s="210"/>
      <c r="CFV116" s="210"/>
      <c r="CFW116" s="210"/>
      <c r="CFX116" s="212"/>
      <c r="CFY116" s="196"/>
      <c r="CFZ116" s="197"/>
      <c r="CGA116" s="209"/>
      <c r="CGB116" s="209"/>
      <c r="CGC116" s="210"/>
      <c r="CGD116" s="210"/>
      <c r="CGE116" s="211"/>
      <c r="CGF116" s="210"/>
      <c r="CGG116" s="210"/>
      <c r="CGH116" s="210"/>
      <c r="CGI116" s="210"/>
      <c r="CGJ116" s="212"/>
      <c r="CGK116" s="196"/>
      <c r="CGL116" s="197"/>
      <c r="CGM116" s="209"/>
      <c r="CGN116" s="209"/>
      <c r="CGO116" s="210"/>
      <c r="CGP116" s="210"/>
      <c r="CGQ116" s="211"/>
      <c r="CGR116" s="210"/>
      <c r="CGS116" s="210"/>
      <c r="CGT116" s="210"/>
      <c r="CGU116" s="210"/>
      <c r="CGV116" s="212"/>
      <c r="CGW116" s="196"/>
      <c r="CGX116" s="197"/>
      <c r="CGY116" s="209"/>
      <c r="CGZ116" s="209"/>
      <c r="CHA116" s="210"/>
      <c r="CHB116" s="210"/>
      <c r="CHC116" s="211"/>
      <c r="CHD116" s="210"/>
      <c r="CHE116" s="210"/>
      <c r="CHF116" s="210"/>
      <c r="CHG116" s="210"/>
      <c r="CHH116" s="212"/>
      <c r="CHI116" s="196"/>
      <c r="CHJ116" s="197"/>
      <c r="CHK116" s="209"/>
      <c r="CHL116" s="209"/>
      <c r="CHM116" s="210"/>
      <c r="CHN116" s="210"/>
      <c r="CHO116" s="211"/>
      <c r="CHP116" s="210"/>
      <c r="CHQ116" s="210"/>
      <c r="CHR116" s="210"/>
      <c r="CHS116" s="210"/>
      <c r="CHT116" s="212"/>
      <c r="CHU116" s="196"/>
      <c r="CHV116" s="197"/>
      <c r="CHW116" s="209"/>
      <c r="CHX116" s="209"/>
      <c r="CHY116" s="210"/>
      <c r="CHZ116" s="210"/>
      <c r="CIA116" s="211"/>
      <c r="CIB116" s="210"/>
      <c r="CIC116" s="210"/>
      <c r="CID116" s="210"/>
      <c r="CIE116" s="210"/>
      <c r="CIF116" s="212"/>
      <c r="CIG116" s="196"/>
      <c r="CIH116" s="197"/>
      <c r="CII116" s="209"/>
      <c r="CIJ116" s="209"/>
      <c r="CIK116" s="210"/>
      <c r="CIL116" s="210"/>
      <c r="CIM116" s="211"/>
      <c r="CIN116" s="210"/>
      <c r="CIO116" s="210"/>
      <c r="CIP116" s="210"/>
      <c r="CIQ116" s="210"/>
      <c r="CIR116" s="212"/>
      <c r="CIS116" s="196"/>
      <c r="CIT116" s="197"/>
      <c r="CIU116" s="209"/>
      <c r="CIV116" s="209"/>
      <c r="CIW116" s="210"/>
      <c r="CIX116" s="210"/>
      <c r="CIY116" s="211"/>
      <c r="CIZ116" s="210"/>
      <c r="CJA116" s="210"/>
      <c r="CJB116" s="210"/>
      <c r="CJC116" s="210"/>
      <c r="CJD116" s="212"/>
      <c r="CJE116" s="196"/>
      <c r="CJF116" s="197"/>
      <c r="CJG116" s="209"/>
      <c r="CJH116" s="209"/>
      <c r="CJI116" s="210"/>
      <c r="CJJ116" s="210"/>
      <c r="CJK116" s="211"/>
      <c r="CJL116" s="210"/>
      <c r="CJM116" s="210"/>
      <c r="CJN116" s="210"/>
      <c r="CJO116" s="210"/>
      <c r="CJP116" s="212"/>
      <c r="CJQ116" s="196"/>
      <c r="CJR116" s="197"/>
      <c r="CJS116" s="209"/>
      <c r="CJT116" s="209"/>
      <c r="CJU116" s="210"/>
      <c r="CJV116" s="210"/>
      <c r="CJW116" s="211"/>
      <c r="CJX116" s="210"/>
      <c r="CJY116" s="210"/>
      <c r="CJZ116" s="210"/>
      <c r="CKA116" s="210"/>
      <c r="CKB116" s="212"/>
      <c r="CKC116" s="196"/>
      <c r="CKD116" s="197"/>
      <c r="CKE116" s="209"/>
      <c r="CKF116" s="209"/>
      <c r="CKG116" s="210"/>
      <c r="CKH116" s="210"/>
      <c r="CKI116" s="211"/>
      <c r="CKJ116" s="210"/>
      <c r="CKK116" s="210"/>
      <c r="CKL116" s="210"/>
      <c r="CKM116" s="210"/>
      <c r="CKN116" s="212"/>
      <c r="CKO116" s="196"/>
      <c r="CKP116" s="197"/>
      <c r="CKQ116" s="209"/>
      <c r="CKR116" s="209"/>
      <c r="CKS116" s="210"/>
      <c r="CKT116" s="210"/>
      <c r="CKU116" s="211"/>
      <c r="CKV116" s="210"/>
      <c r="CKW116" s="210"/>
      <c r="CKX116" s="210"/>
      <c r="CKY116" s="210"/>
      <c r="CKZ116" s="212"/>
      <c r="CLA116" s="196"/>
      <c r="CLB116" s="197"/>
      <c r="CLC116" s="209"/>
      <c r="CLD116" s="209"/>
      <c r="CLE116" s="210"/>
      <c r="CLF116" s="210"/>
      <c r="CLG116" s="211"/>
      <c r="CLH116" s="210"/>
      <c r="CLI116" s="210"/>
      <c r="CLJ116" s="210"/>
      <c r="CLK116" s="210"/>
      <c r="CLL116" s="212"/>
      <c r="CLM116" s="196"/>
      <c r="CLN116" s="197"/>
      <c r="CLO116" s="209"/>
      <c r="CLP116" s="209"/>
      <c r="CLQ116" s="210"/>
      <c r="CLR116" s="210"/>
      <c r="CLS116" s="211"/>
      <c r="CLT116" s="210"/>
      <c r="CLU116" s="210"/>
      <c r="CLV116" s="210"/>
      <c r="CLW116" s="210"/>
      <c r="CLX116" s="212"/>
      <c r="CLY116" s="196"/>
      <c r="CLZ116" s="197"/>
      <c r="CMA116" s="209"/>
      <c r="CMB116" s="209"/>
      <c r="CMC116" s="210"/>
      <c r="CMD116" s="210"/>
      <c r="CME116" s="211"/>
      <c r="CMF116" s="210"/>
      <c r="CMG116" s="210"/>
      <c r="CMH116" s="210"/>
      <c r="CMI116" s="210"/>
      <c r="CMJ116" s="212"/>
      <c r="CMK116" s="196"/>
      <c r="CML116" s="197"/>
      <c r="CMM116" s="209"/>
      <c r="CMN116" s="209"/>
      <c r="CMO116" s="210"/>
      <c r="CMP116" s="210"/>
      <c r="CMQ116" s="211"/>
      <c r="CMR116" s="210"/>
      <c r="CMS116" s="210"/>
      <c r="CMT116" s="210"/>
      <c r="CMU116" s="210"/>
      <c r="CMV116" s="212"/>
      <c r="CMW116" s="196"/>
      <c r="CMX116" s="197"/>
      <c r="CMY116" s="209"/>
      <c r="CMZ116" s="209"/>
      <c r="CNA116" s="210"/>
      <c r="CNB116" s="210"/>
      <c r="CNC116" s="211"/>
      <c r="CND116" s="210"/>
      <c r="CNE116" s="210"/>
      <c r="CNF116" s="210"/>
      <c r="CNG116" s="210"/>
      <c r="CNH116" s="212"/>
      <c r="CNI116" s="196"/>
      <c r="CNJ116" s="197"/>
      <c r="CNK116" s="209"/>
      <c r="CNL116" s="209"/>
      <c r="CNM116" s="210"/>
      <c r="CNN116" s="210"/>
      <c r="CNO116" s="211"/>
      <c r="CNP116" s="210"/>
      <c r="CNQ116" s="210"/>
      <c r="CNR116" s="210"/>
      <c r="CNS116" s="210"/>
      <c r="CNT116" s="212"/>
      <c r="CNU116" s="196"/>
      <c r="CNV116" s="197"/>
      <c r="CNW116" s="209"/>
      <c r="CNX116" s="209"/>
      <c r="CNY116" s="210"/>
      <c r="CNZ116" s="210"/>
      <c r="COA116" s="211"/>
      <c r="COB116" s="210"/>
      <c r="COC116" s="210"/>
      <c r="COD116" s="210"/>
      <c r="COE116" s="210"/>
      <c r="COF116" s="212"/>
      <c r="COG116" s="196"/>
      <c r="COH116" s="197"/>
      <c r="COI116" s="209"/>
      <c r="COJ116" s="209"/>
      <c r="COK116" s="210"/>
      <c r="COL116" s="210"/>
      <c r="COM116" s="211"/>
      <c r="CON116" s="210"/>
      <c r="COO116" s="210"/>
      <c r="COP116" s="210"/>
      <c r="COQ116" s="210"/>
      <c r="COR116" s="212"/>
      <c r="COS116" s="196"/>
      <c r="COT116" s="197"/>
      <c r="COU116" s="209"/>
      <c r="COV116" s="209"/>
      <c r="COW116" s="210"/>
      <c r="COX116" s="210"/>
      <c r="COY116" s="211"/>
      <c r="COZ116" s="210"/>
      <c r="CPA116" s="210"/>
      <c r="CPB116" s="210"/>
      <c r="CPC116" s="210"/>
      <c r="CPD116" s="212"/>
      <c r="CPE116" s="196"/>
      <c r="CPF116" s="197"/>
      <c r="CPG116" s="209"/>
      <c r="CPH116" s="209"/>
      <c r="CPI116" s="210"/>
      <c r="CPJ116" s="210"/>
      <c r="CPK116" s="211"/>
      <c r="CPL116" s="210"/>
      <c r="CPM116" s="210"/>
      <c r="CPN116" s="210"/>
      <c r="CPO116" s="210"/>
      <c r="CPP116" s="212"/>
      <c r="CPQ116" s="196"/>
      <c r="CPR116" s="197"/>
      <c r="CPS116" s="209"/>
      <c r="CPT116" s="209"/>
      <c r="CPU116" s="210"/>
      <c r="CPV116" s="210"/>
      <c r="CPW116" s="211"/>
      <c r="CPX116" s="210"/>
      <c r="CPY116" s="210"/>
      <c r="CPZ116" s="210"/>
      <c r="CQA116" s="210"/>
      <c r="CQB116" s="212"/>
      <c r="CQC116" s="196"/>
      <c r="CQD116" s="197"/>
      <c r="CQE116" s="209"/>
      <c r="CQF116" s="209"/>
      <c r="CQG116" s="210"/>
      <c r="CQH116" s="210"/>
      <c r="CQI116" s="211"/>
      <c r="CQJ116" s="210"/>
      <c r="CQK116" s="210"/>
      <c r="CQL116" s="210"/>
      <c r="CQM116" s="210"/>
      <c r="CQN116" s="212"/>
      <c r="CQO116" s="196"/>
      <c r="CQP116" s="197"/>
      <c r="CQQ116" s="209"/>
      <c r="CQR116" s="209"/>
      <c r="CQS116" s="210"/>
      <c r="CQT116" s="210"/>
      <c r="CQU116" s="211"/>
      <c r="CQV116" s="210"/>
      <c r="CQW116" s="210"/>
      <c r="CQX116" s="210"/>
      <c r="CQY116" s="210"/>
      <c r="CQZ116" s="212"/>
      <c r="CRA116" s="196"/>
      <c r="CRB116" s="197"/>
      <c r="CRC116" s="209"/>
      <c r="CRD116" s="209"/>
      <c r="CRE116" s="210"/>
      <c r="CRF116" s="210"/>
      <c r="CRG116" s="211"/>
      <c r="CRH116" s="210"/>
      <c r="CRI116" s="210"/>
      <c r="CRJ116" s="210"/>
      <c r="CRK116" s="210"/>
      <c r="CRL116" s="212"/>
      <c r="CRM116" s="196"/>
      <c r="CRN116" s="197"/>
      <c r="CRO116" s="209"/>
      <c r="CRP116" s="209"/>
      <c r="CRQ116" s="210"/>
      <c r="CRR116" s="210"/>
      <c r="CRS116" s="211"/>
      <c r="CRT116" s="210"/>
      <c r="CRU116" s="210"/>
      <c r="CRV116" s="210"/>
      <c r="CRW116" s="210"/>
      <c r="CRX116" s="212"/>
      <c r="CRY116" s="196"/>
      <c r="CRZ116" s="197"/>
      <c r="CSA116" s="209"/>
      <c r="CSB116" s="209"/>
      <c r="CSC116" s="210"/>
      <c r="CSD116" s="210"/>
      <c r="CSE116" s="211"/>
      <c r="CSF116" s="210"/>
      <c r="CSG116" s="210"/>
      <c r="CSH116" s="210"/>
      <c r="CSI116" s="210"/>
      <c r="CSJ116" s="212"/>
      <c r="CSK116" s="196"/>
      <c r="CSL116" s="197"/>
      <c r="CSM116" s="209"/>
      <c r="CSN116" s="209"/>
      <c r="CSO116" s="210"/>
      <c r="CSP116" s="210"/>
      <c r="CSQ116" s="211"/>
      <c r="CSR116" s="210"/>
      <c r="CSS116" s="210"/>
      <c r="CST116" s="210"/>
      <c r="CSU116" s="210"/>
      <c r="CSV116" s="212"/>
      <c r="CSW116" s="196"/>
      <c r="CSX116" s="197"/>
      <c r="CSY116" s="209"/>
      <c r="CSZ116" s="209"/>
      <c r="CTA116" s="210"/>
      <c r="CTB116" s="210"/>
      <c r="CTC116" s="211"/>
      <c r="CTD116" s="210"/>
      <c r="CTE116" s="210"/>
      <c r="CTF116" s="210"/>
      <c r="CTG116" s="210"/>
      <c r="CTH116" s="212"/>
      <c r="CTI116" s="196"/>
      <c r="CTJ116" s="197"/>
      <c r="CTK116" s="209"/>
      <c r="CTL116" s="209"/>
      <c r="CTM116" s="210"/>
      <c r="CTN116" s="210"/>
      <c r="CTO116" s="211"/>
      <c r="CTP116" s="210"/>
      <c r="CTQ116" s="210"/>
      <c r="CTR116" s="210"/>
      <c r="CTS116" s="210"/>
      <c r="CTT116" s="212"/>
      <c r="CTU116" s="196"/>
      <c r="CTV116" s="197"/>
      <c r="CTW116" s="209"/>
      <c r="CTX116" s="209"/>
      <c r="CTY116" s="210"/>
      <c r="CTZ116" s="210"/>
      <c r="CUA116" s="211"/>
      <c r="CUB116" s="210"/>
      <c r="CUC116" s="210"/>
      <c r="CUD116" s="210"/>
      <c r="CUE116" s="210"/>
      <c r="CUF116" s="212"/>
      <c r="CUG116" s="196"/>
      <c r="CUH116" s="197"/>
      <c r="CUI116" s="209"/>
      <c r="CUJ116" s="209"/>
      <c r="CUK116" s="210"/>
      <c r="CUL116" s="210"/>
      <c r="CUM116" s="211"/>
      <c r="CUN116" s="210"/>
      <c r="CUO116" s="210"/>
      <c r="CUP116" s="210"/>
      <c r="CUQ116" s="210"/>
      <c r="CUR116" s="212"/>
      <c r="CUS116" s="196"/>
      <c r="CUT116" s="197"/>
      <c r="CUU116" s="209"/>
      <c r="CUV116" s="209"/>
      <c r="CUW116" s="210"/>
      <c r="CUX116" s="210"/>
      <c r="CUY116" s="211"/>
      <c r="CUZ116" s="210"/>
      <c r="CVA116" s="210"/>
      <c r="CVB116" s="210"/>
      <c r="CVC116" s="210"/>
      <c r="CVD116" s="212"/>
      <c r="CVE116" s="196"/>
      <c r="CVF116" s="197"/>
      <c r="CVG116" s="209"/>
      <c r="CVH116" s="209"/>
      <c r="CVI116" s="210"/>
      <c r="CVJ116" s="210"/>
      <c r="CVK116" s="211"/>
      <c r="CVL116" s="210"/>
      <c r="CVM116" s="210"/>
      <c r="CVN116" s="210"/>
      <c r="CVO116" s="210"/>
      <c r="CVP116" s="212"/>
      <c r="CVQ116" s="196"/>
      <c r="CVR116" s="197"/>
      <c r="CVS116" s="209"/>
      <c r="CVT116" s="209"/>
      <c r="CVU116" s="210"/>
      <c r="CVV116" s="210"/>
      <c r="CVW116" s="211"/>
      <c r="CVX116" s="210"/>
      <c r="CVY116" s="210"/>
      <c r="CVZ116" s="210"/>
      <c r="CWA116" s="210"/>
      <c r="CWB116" s="212"/>
      <c r="CWC116" s="196"/>
      <c r="CWD116" s="197"/>
      <c r="CWE116" s="209"/>
      <c r="CWF116" s="209"/>
      <c r="CWG116" s="210"/>
      <c r="CWH116" s="210"/>
      <c r="CWI116" s="211"/>
      <c r="CWJ116" s="210"/>
      <c r="CWK116" s="210"/>
      <c r="CWL116" s="210"/>
      <c r="CWM116" s="210"/>
      <c r="CWN116" s="212"/>
      <c r="CWO116" s="196"/>
      <c r="CWP116" s="197"/>
      <c r="CWQ116" s="209"/>
      <c r="CWR116" s="209"/>
      <c r="CWS116" s="210"/>
      <c r="CWT116" s="210"/>
      <c r="CWU116" s="211"/>
      <c r="CWV116" s="210"/>
      <c r="CWW116" s="210"/>
      <c r="CWX116" s="210"/>
      <c r="CWY116" s="210"/>
      <c r="CWZ116" s="212"/>
      <c r="CXA116" s="196"/>
      <c r="CXB116" s="197"/>
      <c r="CXC116" s="209"/>
      <c r="CXD116" s="209"/>
      <c r="CXE116" s="210"/>
      <c r="CXF116" s="210"/>
      <c r="CXG116" s="211"/>
      <c r="CXH116" s="210"/>
      <c r="CXI116" s="210"/>
      <c r="CXJ116" s="210"/>
      <c r="CXK116" s="210"/>
      <c r="CXL116" s="212"/>
      <c r="CXM116" s="196"/>
      <c r="CXN116" s="197"/>
      <c r="CXO116" s="209"/>
      <c r="CXP116" s="209"/>
      <c r="CXQ116" s="210"/>
      <c r="CXR116" s="210"/>
      <c r="CXS116" s="211"/>
      <c r="CXT116" s="210"/>
      <c r="CXU116" s="210"/>
      <c r="CXV116" s="210"/>
      <c r="CXW116" s="210"/>
      <c r="CXX116" s="212"/>
      <c r="CXY116" s="196"/>
      <c r="CXZ116" s="197"/>
      <c r="CYA116" s="209"/>
      <c r="CYB116" s="209"/>
      <c r="CYC116" s="210"/>
      <c r="CYD116" s="210"/>
      <c r="CYE116" s="211"/>
      <c r="CYF116" s="210"/>
      <c r="CYG116" s="210"/>
      <c r="CYH116" s="210"/>
      <c r="CYI116" s="210"/>
      <c r="CYJ116" s="212"/>
      <c r="CYK116" s="196"/>
      <c r="CYL116" s="197"/>
      <c r="CYM116" s="209"/>
      <c r="CYN116" s="209"/>
      <c r="CYO116" s="210"/>
      <c r="CYP116" s="210"/>
      <c r="CYQ116" s="211"/>
      <c r="CYR116" s="210"/>
      <c r="CYS116" s="210"/>
      <c r="CYT116" s="210"/>
      <c r="CYU116" s="210"/>
      <c r="CYV116" s="212"/>
      <c r="CYW116" s="196"/>
      <c r="CYX116" s="197"/>
      <c r="CYY116" s="209"/>
      <c r="CYZ116" s="209"/>
      <c r="CZA116" s="210"/>
      <c r="CZB116" s="210"/>
      <c r="CZC116" s="211"/>
      <c r="CZD116" s="210"/>
      <c r="CZE116" s="210"/>
      <c r="CZF116" s="210"/>
      <c r="CZG116" s="210"/>
      <c r="CZH116" s="212"/>
      <c r="CZI116" s="196"/>
      <c r="CZJ116" s="197"/>
      <c r="CZK116" s="209"/>
      <c r="CZL116" s="209"/>
      <c r="CZM116" s="210"/>
      <c r="CZN116" s="210"/>
      <c r="CZO116" s="211"/>
      <c r="CZP116" s="210"/>
      <c r="CZQ116" s="210"/>
      <c r="CZR116" s="210"/>
      <c r="CZS116" s="210"/>
      <c r="CZT116" s="212"/>
      <c r="CZU116" s="196"/>
      <c r="CZV116" s="197"/>
      <c r="CZW116" s="209"/>
      <c r="CZX116" s="209"/>
      <c r="CZY116" s="210"/>
      <c r="CZZ116" s="210"/>
      <c r="DAA116" s="211"/>
      <c r="DAB116" s="210"/>
      <c r="DAC116" s="210"/>
      <c r="DAD116" s="210"/>
      <c r="DAE116" s="210"/>
      <c r="DAF116" s="212"/>
      <c r="DAG116" s="196"/>
      <c r="DAH116" s="197"/>
      <c r="DAI116" s="209"/>
      <c r="DAJ116" s="209"/>
      <c r="DAK116" s="210"/>
      <c r="DAL116" s="210"/>
      <c r="DAM116" s="211"/>
      <c r="DAN116" s="210"/>
      <c r="DAO116" s="210"/>
      <c r="DAP116" s="210"/>
      <c r="DAQ116" s="210"/>
      <c r="DAR116" s="212"/>
      <c r="DAS116" s="196"/>
      <c r="DAT116" s="197"/>
      <c r="DAU116" s="209"/>
      <c r="DAV116" s="209"/>
      <c r="DAW116" s="210"/>
      <c r="DAX116" s="210"/>
      <c r="DAY116" s="211"/>
      <c r="DAZ116" s="210"/>
      <c r="DBA116" s="210"/>
      <c r="DBB116" s="210"/>
      <c r="DBC116" s="210"/>
      <c r="DBD116" s="212"/>
      <c r="DBE116" s="196"/>
      <c r="DBF116" s="197"/>
      <c r="DBG116" s="209"/>
      <c r="DBH116" s="209"/>
      <c r="DBI116" s="210"/>
      <c r="DBJ116" s="210"/>
      <c r="DBK116" s="211"/>
      <c r="DBL116" s="210"/>
      <c r="DBM116" s="210"/>
      <c r="DBN116" s="210"/>
      <c r="DBO116" s="210"/>
      <c r="DBP116" s="212"/>
      <c r="DBQ116" s="196"/>
      <c r="DBR116" s="197"/>
      <c r="DBS116" s="209"/>
      <c r="DBT116" s="209"/>
      <c r="DBU116" s="210"/>
      <c r="DBV116" s="210"/>
      <c r="DBW116" s="211"/>
      <c r="DBX116" s="210"/>
      <c r="DBY116" s="210"/>
      <c r="DBZ116" s="210"/>
      <c r="DCA116" s="210"/>
      <c r="DCB116" s="212"/>
      <c r="DCC116" s="196"/>
      <c r="DCD116" s="197"/>
      <c r="DCE116" s="209"/>
      <c r="DCF116" s="209"/>
      <c r="DCG116" s="210"/>
      <c r="DCH116" s="210"/>
      <c r="DCI116" s="211"/>
      <c r="DCJ116" s="210"/>
      <c r="DCK116" s="210"/>
      <c r="DCL116" s="210"/>
      <c r="DCM116" s="210"/>
      <c r="DCN116" s="212"/>
      <c r="DCO116" s="196"/>
      <c r="DCP116" s="197"/>
      <c r="DCQ116" s="209"/>
      <c r="DCR116" s="209"/>
      <c r="DCS116" s="210"/>
      <c r="DCT116" s="210"/>
      <c r="DCU116" s="211"/>
      <c r="DCV116" s="210"/>
      <c r="DCW116" s="210"/>
      <c r="DCX116" s="210"/>
      <c r="DCY116" s="210"/>
      <c r="DCZ116" s="212"/>
      <c r="DDA116" s="196"/>
      <c r="DDB116" s="197"/>
      <c r="DDC116" s="209"/>
      <c r="DDD116" s="209"/>
      <c r="DDE116" s="210"/>
      <c r="DDF116" s="210"/>
      <c r="DDG116" s="211"/>
      <c r="DDH116" s="210"/>
      <c r="DDI116" s="210"/>
      <c r="DDJ116" s="210"/>
      <c r="DDK116" s="210"/>
      <c r="DDL116" s="212"/>
      <c r="DDM116" s="196"/>
      <c r="DDN116" s="197"/>
      <c r="DDO116" s="209"/>
      <c r="DDP116" s="209"/>
      <c r="DDQ116" s="210"/>
      <c r="DDR116" s="210"/>
      <c r="DDS116" s="211"/>
      <c r="DDT116" s="210"/>
      <c r="DDU116" s="210"/>
      <c r="DDV116" s="210"/>
      <c r="DDW116" s="210"/>
      <c r="DDX116" s="212"/>
      <c r="DDY116" s="196"/>
      <c r="DDZ116" s="197"/>
      <c r="DEA116" s="209"/>
      <c r="DEB116" s="209"/>
      <c r="DEC116" s="210"/>
      <c r="DED116" s="210"/>
      <c r="DEE116" s="211"/>
      <c r="DEF116" s="210"/>
      <c r="DEG116" s="210"/>
      <c r="DEH116" s="210"/>
      <c r="DEI116" s="210"/>
      <c r="DEJ116" s="212"/>
      <c r="DEK116" s="196"/>
      <c r="DEL116" s="197"/>
      <c r="DEM116" s="209"/>
      <c r="DEN116" s="209"/>
      <c r="DEO116" s="210"/>
      <c r="DEP116" s="210"/>
      <c r="DEQ116" s="211"/>
      <c r="DER116" s="210"/>
      <c r="DES116" s="210"/>
      <c r="DET116" s="210"/>
      <c r="DEU116" s="210"/>
      <c r="DEV116" s="212"/>
      <c r="DEW116" s="196"/>
      <c r="DEX116" s="197"/>
      <c r="DEY116" s="209"/>
      <c r="DEZ116" s="209"/>
      <c r="DFA116" s="210"/>
      <c r="DFB116" s="210"/>
      <c r="DFC116" s="211"/>
      <c r="DFD116" s="210"/>
      <c r="DFE116" s="210"/>
      <c r="DFF116" s="210"/>
      <c r="DFG116" s="210"/>
      <c r="DFH116" s="212"/>
      <c r="DFI116" s="196"/>
      <c r="DFJ116" s="197"/>
      <c r="DFK116" s="209"/>
      <c r="DFL116" s="209"/>
      <c r="DFM116" s="210"/>
      <c r="DFN116" s="210"/>
      <c r="DFO116" s="211"/>
      <c r="DFP116" s="210"/>
      <c r="DFQ116" s="210"/>
      <c r="DFR116" s="210"/>
      <c r="DFS116" s="210"/>
      <c r="DFT116" s="212"/>
      <c r="DFU116" s="196"/>
      <c r="DFV116" s="197"/>
      <c r="DFW116" s="209"/>
      <c r="DFX116" s="209"/>
      <c r="DFY116" s="210"/>
      <c r="DFZ116" s="210"/>
      <c r="DGA116" s="211"/>
      <c r="DGB116" s="210"/>
      <c r="DGC116" s="210"/>
      <c r="DGD116" s="210"/>
      <c r="DGE116" s="210"/>
      <c r="DGF116" s="212"/>
      <c r="DGG116" s="196"/>
      <c r="DGH116" s="197"/>
      <c r="DGI116" s="209"/>
      <c r="DGJ116" s="209"/>
      <c r="DGK116" s="210"/>
      <c r="DGL116" s="210"/>
      <c r="DGM116" s="211"/>
      <c r="DGN116" s="210"/>
      <c r="DGO116" s="210"/>
      <c r="DGP116" s="210"/>
      <c r="DGQ116" s="210"/>
      <c r="DGR116" s="212"/>
      <c r="DGS116" s="196"/>
      <c r="DGT116" s="197"/>
      <c r="DGU116" s="209"/>
      <c r="DGV116" s="209"/>
      <c r="DGW116" s="210"/>
      <c r="DGX116" s="210"/>
      <c r="DGY116" s="211"/>
      <c r="DGZ116" s="210"/>
      <c r="DHA116" s="210"/>
      <c r="DHB116" s="210"/>
      <c r="DHC116" s="210"/>
      <c r="DHD116" s="212"/>
      <c r="DHE116" s="196"/>
      <c r="DHF116" s="197"/>
      <c r="DHG116" s="209"/>
      <c r="DHH116" s="209"/>
      <c r="DHI116" s="210"/>
      <c r="DHJ116" s="210"/>
      <c r="DHK116" s="211"/>
      <c r="DHL116" s="210"/>
      <c r="DHM116" s="210"/>
      <c r="DHN116" s="210"/>
      <c r="DHO116" s="210"/>
      <c r="DHP116" s="212"/>
      <c r="DHQ116" s="196"/>
      <c r="DHR116" s="197"/>
      <c r="DHS116" s="209"/>
      <c r="DHT116" s="209"/>
      <c r="DHU116" s="210"/>
      <c r="DHV116" s="210"/>
      <c r="DHW116" s="211"/>
      <c r="DHX116" s="210"/>
      <c r="DHY116" s="210"/>
      <c r="DHZ116" s="210"/>
      <c r="DIA116" s="210"/>
      <c r="DIB116" s="212"/>
      <c r="DIC116" s="196"/>
      <c r="DID116" s="197"/>
      <c r="DIE116" s="209"/>
      <c r="DIF116" s="209"/>
      <c r="DIG116" s="210"/>
      <c r="DIH116" s="210"/>
      <c r="DII116" s="211"/>
      <c r="DIJ116" s="210"/>
      <c r="DIK116" s="210"/>
      <c r="DIL116" s="210"/>
      <c r="DIM116" s="210"/>
      <c r="DIN116" s="212"/>
      <c r="DIO116" s="196"/>
      <c r="DIP116" s="197"/>
      <c r="DIQ116" s="209"/>
      <c r="DIR116" s="209"/>
      <c r="DIS116" s="210"/>
      <c r="DIT116" s="210"/>
      <c r="DIU116" s="211"/>
      <c r="DIV116" s="210"/>
      <c r="DIW116" s="210"/>
      <c r="DIX116" s="210"/>
      <c r="DIY116" s="210"/>
      <c r="DIZ116" s="212"/>
      <c r="DJA116" s="196"/>
      <c r="DJB116" s="197"/>
      <c r="DJC116" s="209"/>
      <c r="DJD116" s="209"/>
      <c r="DJE116" s="210"/>
      <c r="DJF116" s="210"/>
      <c r="DJG116" s="211"/>
      <c r="DJH116" s="210"/>
      <c r="DJI116" s="210"/>
      <c r="DJJ116" s="210"/>
      <c r="DJK116" s="210"/>
      <c r="DJL116" s="212"/>
      <c r="DJM116" s="196"/>
      <c r="DJN116" s="197"/>
      <c r="DJO116" s="209"/>
      <c r="DJP116" s="209"/>
      <c r="DJQ116" s="210"/>
      <c r="DJR116" s="210"/>
      <c r="DJS116" s="211"/>
      <c r="DJT116" s="210"/>
      <c r="DJU116" s="210"/>
      <c r="DJV116" s="210"/>
      <c r="DJW116" s="210"/>
      <c r="DJX116" s="212"/>
      <c r="DJY116" s="196"/>
      <c r="DJZ116" s="197"/>
      <c r="DKA116" s="209"/>
      <c r="DKB116" s="209"/>
      <c r="DKC116" s="210"/>
      <c r="DKD116" s="210"/>
      <c r="DKE116" s="211"/>
      <c r="DKF116" s="210"/>
      <c r="DKG116" s="210"/>
      <c r="DKH116" s="210"/>
      <c r="DKI116" s="210"/>
      <c r="DKJ116" s="212"/>
      <c r="DKK116" s="196"/>
      <c r="DKL116" s="197"/>
      <c r="DKM116" s="209"/>
      <c r="DKN116" s="209"/>
      <c r="DKO116" s="210"/>
      <c r="DKP116" s="210"/>
      <c r="DKQ116" s="211"/>
      <c r="DKR116" s="210"/>
      <c r="DKS116" s="210"/>
      <c r="DKT116" s="210"/>
      <c r="DKU116" s="210"/>
      <c r="DKV116" s="212"/>
      <c r="DKW116" s="196"/>
      <c r="DKX116" s="197"/>
      <c r="DKY116" s="209"/>
      <c r="DKZ116" s="209"/>
      <c r="DLA116" s="210"/>
      <c r="DLB116" s="210"/>
      <c r="DLC116" s="211"/>
      <c r="DLD116" s="210"/>
      <c r="DLE116" s="210"/>
      <c r="DLF116" s="210"/>
      <c r="DLG116" s="210"/>
      <c r="DLH116" s="212"/>
      <c r="DLI116" s="196"/>
      <c r="DLJ116" s="197"/>
      <c r="DLK116" s="209"/>
      <c r="DLL116" s="209"/>
      <c r="DLM116" s="210"/>
      <c r="DLN116" s="210"/>
      <c r="DLO116" s="211"/>
      <c r="DLP116" s="210"/>
      <c r="DLQ116" s="210"/>
      <c r="DLR116" s="210"/>
      <c r="DLS116" s="210"/>
      <c r="DLT116" s="212"/>
      <c r="DLU116" s="196"/>
      <c r="DLV116" s="197"/>
      <c r="DLW116" s="209"/>
      <c r="DLX116" s="209"/>
      <c r="DLY116" s="210"/>
      <c r="DLZ116" s="210"/>
      <c r="DMA116" s="211"/>
      <c r="DMB116" s="210"/>
      <c r="DMC116" s="210"/>
      <c r="DMD116" s="210"/>
      <c r="DME116" s="210"/>
      <c r="DMF116" s="212"/>
      <c r="DMG116" s="196"/>
      <c r="DMH116" s="197"/>
      <c r="DMI116" s="209"/>
      <c r="DMJ116" s="209"/>
      <c r="DMK116" s="210"/>
      <c r="DML116" s="210"/>
      <c r="DMM116" s="211"/>
      <c r="DMN116" s="210"/>
      <c r="DMO116" s="210"/>
      <c r="DMP116" s="210"/>
      <c r="DMQ116" s="210"/>
      <c r="DMR116" s="212"/>
      <c r="DMS116" s="196"/>
      <c r="DMT116" s="197"/>
      <c r="DMU116" s="209"/>
      <c r="DMV116" s="209"/>
      <c r="DMW116" s="210"/>
      <c r="DMX116" s="210"/>
      <c r="DMY116" s="211"/>
      <c r="DMZ116" s="210"/>
      <c r="DNA116" s="210"/>
      <c r="DNB116" s="210"/>
      <c r="DNC116" s="210"/>
      <c r="DND116" s="212"/>
      <c r="DNE116" s="196"/>
      <c r="DNF116" s="197"/>
      <c r="DNG116" s="209"/>
      <c r="DNH116" s="209"/>
      <c r="DNI116" s="210"/>
      <c r="DNJ116" s="210"/>
      <c r="DNK116" s="211"/>
      <c r="DNL116" s="210"/>
      <c r="DNM116" s="210"/>
      <c r="DNN116" s="210"/>
      <c r="DNO116" s="210"/>
      <c r="DNP116" s="212"/>
      <c r="DNQ116" s="196"/>
      <c r="DNR116" s="197"/>
      <c r="DNS116" s="209"/>
      <c r="DNT116" s="209"/>
      <c r="DNU116" s="210"/>
      <c r="DNV116" s="210"/>
      <c r="DNW116" s="211"/>
      <c r="DNX116" s="210"/>
      <c r="DNY116" s="210"/>
      <c r="DNZ116" s="210"/>
      <c r="DOA116" s="210"/>
      <c r="DOB116" s="212"/>
      <c r="DOC116" s="196"/>
      <c r="DOD116" s="197"/>
      <c r="DOE116" s="209"/>
      <c r="DOF116" s="209"/>
      <c r="DOG116" s="210"/>
      <c r="DOH116" s="210"/>
      <c r="DOI116" s="211"/>
      <c r="DOJ116" s="210"/>
      <c r="DOK116" s="210"/>
      <c r="DOL116" s="210"/>
      <c r="DOM116" s="210"/>
      <c r="DON116" s="212"/>
      <c r="DOO116" s="196"/>
      <c r="DOP116" s="197"/>
      <c r="DOQ116" s="209"/>
      <c r="DOR116" s="209"/>
      <c r="DOS116" s="210"/>
      <c r="DOT116" s="210"/>
      <c r="DOU116" s="211"/>
      <c r="DOV116" s="210"/>
      <c r="DOW116" s="210"/>
      <c r="DOX116" s="210"/>
      <c r="DOY116" s="210"/>
      <c r="DOZ116" s="212"/>
      <c r="DPA116" s="196"/>
      <c r="DPB116" s="197"/>
      <c r="DPC116" s="209"/>
      <c r="DPD116" s="209"/>
      <c r="DPE116" s="210"/>
      <c r="DPF116" s="210"/>
      <c r="DPG116" s="211"/>
      <c r="DPH116" s="210"/>
      <c r="DPI116" s="210"/>
      <c r="DPJ116" s="210"/>
      <c r="DPK116" s="210"/>
      <c r="DPL116" s="212"/>
      <c r="DPM116" s="196"/>
      <c r="DPN116" s="197"/>
      <c r="DPO116" s="209"/>
      <c r="DPP116" s="209"/>
      <c r="DPQ116" s="210"/>
      <c r="DPR116" s="210"/>
      <c r="DPS116" s="211"/>
      <c r="DPT116" s="210"/>
      <c r="DPU116" s="210"/>
      <c r="DPV116" s="210"/>
      <c r="DPW116" s="210"/>
      <c r="DPX116" s="212"/>
      <c r="DPY116" s="196"/>
      <c r="DPZ116" s="197"/>
      <c r="DQA116" s="209"/>
      <c r="DQB116" s="209"/>
      <c r="DQC116" s="210"/>
      <c r="DQD116" s="210"/>
      <c r="DQE116" s="211"/>
      <c r="DQF116" s="210"/>
      <c r="DQG116" s="210"/>
      <c r="DQH116" s="210"/>
      <c r="DQI116" s="210"/>
      <c r="DQJ116" s="212"/>
      <c r="DQK116" s="196"/>
      <c r="DQL116" s="197"/>
      <c r="DQM116" s="209"/>
      <c r="DQN116" s="209"/>
      <c r="DQO116" s="210"/>
      <c r="DQP116" s="210"/>
      <c r="DQQ116" s="211"/>
      <c r="DQR116" s="210"/>
      <c r="DQS116" s="210"/>
      <c r="DQT116" s="210"/>
      <c r="DQU116" s="210"/>
      <c r="DQV116" s="212"/>
      <c r="DQW116" s="196"/>
      <c r="DQX116" s="197"/>
      <c r="DQY116" s="209"/>
      <c r="DQZ116" s="209"/>
      <c r="DRA116" s="210"/>
      <c r="DRB116" s="210"/>
      <c r="DRC116" s="211"/>
      <c r="DRD116" s="210"/>
      <c r="DRE116" s="210"/>
      <c r="DRF116" s="210"/>
      <c r="DRG116" s="210"/>
      <c r="DRH116" s="212"/>
      <c r="DRI116" s="196"/>
      <c r="DRJ116" s="197"/>
      <c r="DRK116" s="209"/>
      <c r="DRL116" s="209"/>
      <c r="DRM116" s="210"/>
      <c r="DRN116" s="210"/>
      <c r="DRO116" s="211"/>
      <c r="DRP116" s="210"/>
      <c r="DRQ116" s="210"/>
      <c r="DRR116" s="210"/>
      <c r="DRS116" s="210"/>
      <c r="DRT116" s="212"/>
      <c r="DRU116" s="196"/>
      <c r="DRV116" s="197"/>
      <c r="DRW116" s="209"/>
      <c r="DRX116" s="209"/>
      <c r="DRY116" s="210"/>
      <c r="DRZ116" s="210"/>
      <c r="DSA116" s="211"/>
      <c r="DSB116" s="210"/>
      <c r="DSC116" s="210"/>
      <c r="DSD116" s="210"/>
      <c r="DSE116" s="210"/>
      <c r="DSF116" s="212"/>
      <c r="DSG116" s="196"/>
      <c r="DSH116" s="197"/>
      <c r="DSI116" s="209"/>
      <c r="DSJ116" s="209"/>
      <c r="DSK116" s="210"/>
      <c r="DSL116" s="210"/>
      <c r="DSM116" s="211"/>
      <c r="DSN116" s="210"/>
      <c r="DSO116" s="210"/>
      <c r="DSP116" s="210"/>
      <c r="DSQ116" s="210"/>
      <c r="DSR116" s="212"/>
      <c r="DSS116" s="196"/>
      <c r="DST116" s="197"/>
      <c r="DSU116" s="209"/>
      <c r="DSV116" s="209"/>
      <c r="DSW116" s="210"/>
      <c r="DSX116" s="210"/>
      <c r="DSY116" s="211"/>
      <c r="DSZ116" s="210"/>
      <c r="DTA116" s="210"/>
      <c r="DTB116" s="210"/>
      <c r="DTC116" s="210"/>
      <c r="DTD116" s="212"/>
      <c r="DTE116" s="196"/>
      <c r="DTF116" s="197"/>
      <c r="DTG116" s="209"/>
      <c r="DTH116" s="209"/>
      <c r="DTI116" s="210"/>
      <c r="DTJ116" s="210"/>
      <c r="DTK116" s="211"/>
      <c r="DTL116" s="210"/>
      <c r="DTM116" s="210"/>
      <c r="DTN116" s="210"/>
      <c r="DTO116" s="210"/>
      <c r="DTP116" s="212"/>
      <c r="DTQ116" s="196"/>
      <c r="DTR116" s="197"/>
      <c r="DTS116" s="209"/>
      <c r="DTT116" s="209"/>
      <c r="DTU116" s="210"/>
      <c r="DTV116" s="210"/>
      <c r="DTW116" s="211"/>
      <c r="DTX116" s="210"/>
      <c r="DTY116" s="210"/>
      <c r="DTZ116" s="210"/>
      <c r="DUA116" s="210"/>
      <c r="DUB116" s="212"/>
      <c r="DUC116" s="196"/>
      <c r="DUD116" s="197"/>
      <c r="DUE116" s="209"/>
      <c r="DUF116" s="209"/>
      <c r="DUG116" s="210"/>
      <c r="DUH116" s="210"/>
      <c r="DUI116" s="211"/>
      <c r="DUJ116" s="210"/>
      <c r="DUK116" s="210"/>
      <c r="DUL116" s="210"/>
      <c r="DUM116" s="210"/>
      <c r="DUN116" s="212"/>
      <c r="DUO116" s="196"/>
      <c r="DUP116" s="197"/>
      <c r="DUQ116" s="209"/>
      <c r="DUR116" s="209"/>
      <c r="DUS116" s="210"/>
      <c r="DUT116" s="210"/>
      <c r="DUU116" s="211"/>
      <c r="DUV116" s="210"/>
      <c r="DUW116" s="210"/>
      <c r="DUX116" s="210"/>
      <c r="DUY116" s="210"/>
      <c r="DUZ116" s="212"/>
      <c r="DVA116" s="196"/>
      <c r="DVB116" s="197"/>
      <c r="DVC116" s="209"/>
      <c r="DVD116" s="209"/>
      <c r="DVE116" s="210"/>
      <c r="DVF116" s="210"/>
      <c r="DVG116" s="211"/>
      <c r="DVH116" s="210"/>
      <c r="DVI116" s="210"/>
      <c r="DVJ116" s="210"/>
      <c r="DVK116" s="210"/>
      <c r="DVL116" s="212"/>
      <c r="DVM116" s="196"/>
      <c r="DVN116" s="197"/>
      <c r="DVO116" s="209"/>
      <c r="DVP116" s="209"/>
      <c r="DVQ116" s="210"/>
      <c r="DVR116" s="210"/>
      <c r="DVS116" s="211"/>
      <c r="DVT116" s="210"/>
      <c r="DVU116" s="210"/>
      <c r="DVV116" s="210"/>
      <c r="DVW116" s="210"/>
      <c r="DVX116" s="212"/>
      <c r="DVY116" s="196"/>
      <c r="DVZ116" s="197"/>
      <c r="DWA116" s="209"/>
      <c r="DWB116" s="209"/>
      <c r="DWC116" s="210"/>
      <c r="DWD116" s="210"/>
      <c r="DWE116" s="211"/>
      <c r="DWF116" s="210"/>
      <c r="DWG116" s="210"/>
      <c r="DWH116" s="210"/>
      <c r="DWI116" s="210"/>
      <c r="DWJ116" s="212"/>
      <c r="DWK116" s="196"/>
      <c r="DWL116" s="197"/>
      <c r="DWM116" s="209"/>
      <c r="DWN116" s="209"/>
      <c r="DWO116" s="210"/>
      <c r="DWP116" s="210"/>
      <c r="DWQ116" s="211"/>
      <c r="DWR116" s="210"/>
      <c r="DWS116" s="210"/>
      <c r="DWT116" s="210"/>
      <c r="DWU116" s="210"/>
      <c r="DWV116" s="212"/>
      <c r="DWW116" s="196"/>
      <c r="DWX116" s="197"/>
      <c r="DWY116" s="209"/>
      <c r="DWZ116" s="209"/>
      <c r="DXA116" s="210"/>
      <c r="DXB116" s="210"/>
      <c r="DXC116" s="211"/>
      <c r="DXD116" s="210"/>
      <c r="DXE116" s="210"/>
      <c r="DXF116" s="210"/>
      <c r="DXG116" s="210"/>
      <c r="DXH116" s="212"/>
      <c r="DXI116" s="196"/>
      <c r="DXJ116" s="197"/>
      <c r="DXK116" s="209"/>
      <c r="DXL116" s="209"/>
      <c r="DXM116" s="210"/>
      <c r="DXN116" s="210"/>
      <c r="DXO116" s="211"/>
      <c r="DXP116" s="210"/>
      <c r="DXQ116" s="210"/>
      <c r="DXR116" s="210"/>
      <c r="DXS116" s="210"/>
      <c r="DXT116" s="212"/>
      <c r="DXU116" s="196"/>
      <c r="DXV116" s="197"/>
      <c r="DXW116" s="209"/>
      <c r="DXX116" s="209"/>
      <c r="DXY116" s="210"/>
      <c r="DXZ116" s="210"/>
      <c r="DYA116" s="211"/>
      <c r="DYB116" s="210"/>
      <c r="DYC116" s="210"/>
      <c r="DYD116" s="210"/>
      <c r="DYE116" s="210"/>
      <c r="DYF116" s="212"/>
      <c r="DYG116" s="196"/>
      <c r="DYH116" s="197"/>
      <c r="DYI116" s="209"/>
      <c r="DYJ116" s="209"/>
      <c r="DYK116" s="210"/>
      <c r="DYL116" s="210"/>
      <c r="DYM116" s="211"/>
      <c r="DYN116" s="210"/>
      <c r="DYO116" s="210"/>
      <c r="DYP116" s="210"/>
      <c r="DYQ116" s="210"/>
      <c r="DYR116" s="212"/>
      <c r="DYS116" s="196"/>
      <c r="DYT116" s="197"/>
      <c r="DYU116" s="209"/>
      <c r="DYV116" s="209"/>
      <c r="DYW116" s="210"/>
      <c r="DYX116" s="210"/>
      <c r="DYY116" s="211"/>
      <c r="DYZ116" s="210"/>
      <c r="DZA116" s="210"/>
      <c r="DZB116" s="210"/>
      <c r="DZC116" s="210"/>
      <c r="DZD116" s="212"/>
      <c r="DZE116" s="196"/>
      <c r="DZF116" s="197"/>
      <c r="DZG116" s="209"/>
      <c r="DZH116" s="209"/>
      <c r="DZI116" s="210"/>
      <c r="DZJ116" s="210"/>
      <c r="DZK116" s="211"/>
      <c r="DZL116" s="210"/>
      <c r="DZM116" s="210"/>
      <c r="DZN116" s="210"/>
      <c r="DZO116" s="210"/>
      <c r="DZP116" s="212"/>
      <c r="DZQ116" s="196"/>
      <c r="DZR116" s="197"/>
      <c r="DZS116" s="209"/>
      <c r="DZT116" s="209"/>
      <c r="DZU116" s="210"/>
      <c r="DZV116" s="210"/>
      <c r="DZW116" s="211"/>
      <c r="DZX116" s="210"/>
      <c r="DZY116" s="210"/>
      <c r="DZZ116" s="210"/>
      <c r="EAA116" s="210"/>
      <c r="EAB116" s="212"/>
      <c r="EAC116" s="196"/>
      <c r="EAD116" s="197"/>
      <c r="EAE116" s="209"/>
      <c r="EAF116" s="209"/>
      <c r="EAG116" s="210"/>
      <c r="EAH116" s="210"/>
      <c r="EAI116" s="211"/>
      <c r="EAJ116" s="210"/>
      <c r="EAK116" s="210"/>
      <c r="EAL116" s="210"/>
      <c r="EAM116" s="210"/>
      <c r="EAN116" s="212"/>
      <c r="EAO116" s="196"/>
      <c r="EAP116" s="197"/>
      <c r="EAQ116" s="209"/>
      <c r="EAR116" s="209"/>
      <c r="EAS116" s="210"/>
      <c r="EAT116" s="210"/>
      <c r="EAU116" s="211"/>
      <c r="EAV116" s="210"/>
      <c r="EAW116" s="210"/>
      <c r="EAX116" s="210"/>
      <c r="EAY116" s="210"/>
      <c r="EAZ116" s="212"/>
      <c r="EBA116" s="196"/>
      <c r="EBB116" s="197"/>
      <c r="EBC116" s="209"/>
      <c r="EBD116" s="209"/>
      <c r="EBE116" s="210"/>
      <c r="EBF116" s="210"/>
      <c r="EBG116" s="211"/>
      <c r="EBH116" s="210"/>
      <c r="EBI116" s="210"/>
      <c r="EBJ116" s="210"/>
      <c r="EBK116" s="210"/>
      <c r="EBL116" s="212"/>
      <c r="EBM116" s="196"/>
      <c r="EBN116" s="197"/>
      <c r="EBO116" s="209"/>
      <c r="EBP116" s="209"/>
      <c r="EBQ116" s="210"/>
      <c r="EBR116" s="210"/>
      <c r="EBS116" s="211"/>
      <c r="EBT116" s="210"/>
      <c r="EBU116" s="210"/>
      <c r="EBV116" s="210"/>
      <c r="EBW116" s="210"/>
      <c r="EBX116" s="212"/>
      <c r="EBY116" s="196"/>
      <c r="EBZ116" s="197"/>
      <c r="ECA116" s="209"/>
      <c r="ECB116" s="209"/>
      <c r="ECC116" s="210"/>
      <c r="ECD116" s="210"/>
      <c r="ECE116" s="211"/>
      <c r="ECF116" s="210"/>
      <c r="ECG116" s="210"/>
      <c r="ECH116" s="210"/>
      <c r="ECI116" s="210"/>
      <c r="ECJ116" s="212"/>
      <c r="ECK116" s="196"/>
      <c r="ECL116" s="197"/>
      <c r="ECM116" s="209"/>
      <c r="ECN116" s="209"/>
      <c r="ECO116" s="210"/>
      <c r="ECP116" s="210"/>
      <c r="ECQ116" s="211"/>
      <c r="ECR116" s="210"/>
      <c r="ECS116" s="210"/>
      <c r="ECT116" s="210"/>
      <c r="ECU116" s="210"/>
      <c r="ECV116" s="212"/>
      <c r="ECW116" s="196"/>
      <c r="ECX116" s="197"/>
      <c r="ECY116" s="209"/>
      <c r="ECZ116" s="209"/>
      <c r="EDA116" s="210"/>
      <c r="EDB116" s="210"/>
      <c r="EDC116" s="211"/>
      <c r="EDD116" s="210"/>
      <c r="EDE116" s="210"/>
      <c r="EDF116" s="210"/>
      <c r="EDG116" s="210"/>
      <c r="EDH116" s="212"/>
      <c r="EDI116" s="196"/>
      <c r="EDJ116" s="197"/>
      <c r="EDK116" s="209"/>
      <c r="EDL116" s="209"/>
      <c r="EDM116" s="210"/>
      <c r="EDN116" s="210"/>
      <c r="EDO116" s="211"/>
      <c r="EDP116" s="210"/>
      <c r="EDQ116" s="210"/>
      <c r="EDR116" s="210"/>
      <c r="EDS116" s="210"/>
      <c r="EDT116" s="212"/>
      <c r="EDU116" s="196"/>
      <c r="EDV116" s="197"/>
      <c r="EDW116" s="209"/>
      <c r="EDX116" s="209"/>
      <c r="EDY116" s="210"/>
      <c r="EDZ116" s="210"/>
      <c r="EEA116" s="211"/>
      <c r="EEB116" s="210"/>
      <c r="EEC116" s="210"/>
      <c r="EED116" s="210"/>
      <c r="EEE116" s="210"/>
      <c r="EEF116" s="212"/>
      <c r="EEG116" s="196"/>
      <c r="EEH116" s="197"/>
      <c r="EEI116" s="209"/>
      <c r="EEJ116" s="209"/>
      <c r="EEK116" s="210"/>
      <c r="EEL116" s="210"/>
      <c r="EEM116" s="211"/>
      <c r="EEN116" s="210"/>
      <c r="EEO116" s="210"/>
      <c r="EEP116" s="210"/>
      <c r="EEQ116" s="210"/>
      <c r="EER116" s="212"/>
      <c r="EES116" s="196"/>
      <c r="EET116" s="197"/>
      <c r="EEU116" s="209"/>
      <c r="EEV116" s="209"/>
      <c r="EEW116" s="210"/>
      <c r="EEX116" s="210"/>
      <c r="EEY116" s="211"/>
      <c r="EEZ116" s="210"/>
      <c r="EFA116" s="210"/>
      <c r="EFB116" s="210"/>
      <c r="EFC116" s="210"/>
      <c r="EFD116" s="212"/>
      <c r="EFE116" s="196"/>
      <c r="EFF116" s="197"/>
      <c r="EFG116" s="209"/>
      <c r="EFH116" s="209"/>
      <c r="EFI116" s="210"/>
      <c r="EFJ116" s="210"/>
      <c r="EFK116" s="211"/>
      <c r="EFL116" s="210"/>
      <c r="EFM116" s="210"/>
      <c r="EFN116" s="210"/>
      <c r="EFO116" s="210"/>
      <c r="EFP116" s="212"/>
      <c r="EFQ116" s="196"/>
      <c r="EFR116" s="197"/>
      <c r="EFS116" s="209"/>
      <c r="EFT116" s="209"/>
      <c r="EFU116" s="210"/>
      <c r="EFV116" s="210"/>
      <c r="EFW116" s="211"/>
      <c r="EFX116" s="210"/>
      <c r="EFY116" s="210"/>
      <c r="EFZ116" s="210"/>
      <c r="EGA116" s="210"/>
      <c r="EGB116" s="212"/>
      <c r="EGC116" s="196"/>
      <c r="EGD116" s="197"/>
      <c r="EGE116" s="209"/>
      <c r="EGF116" s="209"/>
      <c r="EGG116" s="210"/>
      <c r="EGH116" s="210"/>
      <c r="EGI116" s="211"/>
      <c r="EGJ116" s="210"/>
      <c r="EGK116" s="210"/>
      <c r="EGL116" s="210"/>
      <c r="EGM116" s="210"/>
      <c r="EGN116" s="212"/>
      <c r="EGO116" s="196"/>
      <c r="EGP116" s="197"/>
      <c r="EGQ116" s="209"/>
      <c r="EGR116" s="209"/>
      <c r="EGS116" s="210"/>
      <c r="EGT116" s="210"/>
      <c r="EGU116" s="211"/>
      <c r="EGV116" s="210"/>
      <c r="EGW116" s="210"/>
      <c r="EGX116" s="210"/>
      <c r="EGY116" s="210"/>
      <c r="EGZ116" s="212"/>
      <c r="EHA116" s="196"/>
      <c r="EHB116" s="197"/>
      <c r="EHC116" s="209"/>
      <c r="EHD116" s="209"/>
      <c r="EHE116" s="210"/>
      <c r="EHF116" s="210"/>
      <c r="EHG116" s="211"/>
      <c r="EHH116" s="210"/>
      <c r="EHI116" s="210"/>
      <c r="EHJ116" s="210"/>
      <c r="EHK116" s="210"/>
      <c r="EHL116" s="212"/>
      <c r="EHM116" s="196"/>
      <c r="EHN116" s="197"/>
      <c r="EHO116" s="209"/>
      <c r="EHP116" s="209"/>
      <c r="EHQ116" s="210"/>
      <c r="EHR116" s="210"/>
      <c r="EHS116" s="211"/>
      <c r="EHT116" s="210"/>
      <c r="EHU116" s="210"/>
      <c r="EHV116" s="210"/>
      <c r="EHW116" s="210"/>
      <c r="EHX116" s="212"/>
      <c r="EHY116" s="196"/>
      <c r="EHZ116" s="197"/>
      <c r="EIA116" s="209"/>
      <c r="EIB116" s="209"/>
      <c r="EIC116" s="210"/>
      <c r="EID116" s="210"/>
      <c r="EIE116" s="211"/>
      <c r="EIF116" s="210"/>
      <c r="EIG116" s="210"/>
      <c r="EIH116" s="210"/>
      <c r="EII116" s="210"/>
      <c r="EIJ116" s="212"/>
      <c r="EIK116" s="196"/>
      <c r="EIL116" s="197"/>
      <c r="EIM116" s="209"/>
      <c r="EIN116" s="209"/>
      <c r="EIO116" s="210"/>
      <c r="EIP116" s="210"/>
      <c r="EIQ116" s="211"/>
      <c r="EIR116" s="210"/>
      <c r="EIS116" s="210"/>
      <c r="EIT116" s="210"/>
      <c r="EIU116" s="210"/>
      <c r="EIV116" s="212"/>
      <c r="EIW116" s="196"/>
      <c r="EIX116" s="197"/>
      <c r="EIY116" s="209"/>
      <c r="EIZ116" s="209"/>
      <c r="EJA116" s="210"/>
      <c r="EJB116" s="210"/>
      <c r="EJC116" s="211"/>
      <c r="EJD116" s="210"/>
      <c r="EJE116" s="210"/>
      <c r="EJF116" s="210"/>
      <c r="EJG116" s="210"/>
      <c r="EJH116" s="212"/>
      <c r="EJI116" s="196"/>
      <c r="EJJ116" s="197"/>
      <c r="EJK116" s="209"/>
      <c r="EJL116" s="209"/>
      <c r="EJM116" s="210"/>
      <c r="EJN116" s="210"/>
      <c r="EJO116" s="211"/>
      <c r="EJP116" s="210"/>
      <c r="EJQ116" s="210"/>
      <c r="EJR116" s="210"/>
      <c r="EJS116" s="210"/>
      <c r="EJT116" s="212"/>
      <c r="EJU116" s="196"/>
      <c r="EJV116" s="197"/>
      <c r="EJW116" s="209"/>
      <c r="EJX116" s="209"/>
      <c r="EJY116" s="210"/>
      <c r="EJZ116" s="210"/>
      <c r="EKA116" s="211"/>
      <c r="EKB116" s="210"/>
      <c r="EKC116" s="210"/>
      <c r="EKD116" s="210"/>
      <c r="EKE116" s="210"/>
      <c r="EKF116" s="212"/>
      <c r="EKG116" s="196"/>
      <c r="EKH116" s="197"/>
      <c r="EKI116" s="209"/>
      <c r="EKJ116" s="209"/>
      <c r="EKK116" s="210"/>
      <c r="EKL116" s="210"/>
      <c r="EKM116" s="211"/>
      <c r="EKN116" s="210"/>
      <c r="EKO116" s="210"/>
      <c r="EKP116" s="210"/>
      <c r="EKQ116" s="210"/>
      <c r="EKR116" s="212"/>
      <c r="EKS116" s="196"/>
      <c r="EKT116" s="197"/>
      <c r="EKU116" s="209"/>
      <c r="EKV116" s="209"/>
      <c r="EKW116" s="210"/>
      <c r="EKX116" s="210"/>
      <c r="EKY116" s="211"/>
      <c r="EKZ116" s="210"/>
      <c r="ELA116" s="210"/>
      <c r="ELB116" s="210"/>
      <c r="ELC116" s="210"/>
      <c r="ELD116" s="212"/>
      <c r="ELE116" s="196"/>
      <c r="ELF116" s="197"/>
      <c r="ELG116" s="209"/>
      <c r="ELH116" s="209"/>
      <c r="ELI116" s="210"/>
      <c r="ELJ116" s="210"/>
      <c r="ELK116" s="211"/>
      <c r="ELL116" s="210"/>
      <c r="ELM116" s="210"/>
      <c r="ELN116" s="210"/>
      <c r="ELO116" s="210"/>
      <c r="ELP116" s="212"/>
      <c r="ELQ116" s="196"/>
      <c r="ELR116" s="197"/>
      <c r="ELS116" s="209"/>
      <c r="ELT116" s="209"/>
      <c r="ELU116" s="210"/>
      <c r="ELV116" s="210"/>
      <c r="ELW116" s="211"/>
      <c r="ELX116" s="210"/>
      <c r="ELY116" s="210"/>
      <c r="ELZ116" s="210"/>
      <c r="EMA116" s="210"/>
      <c r="EMB116" s="212"/>
      <c r="EMC116" s="196"/>
      <c r="EMD116" s="197"/>
      <c r="EME116" s="209"/>
      <c r="EMF116" s="209"/>
      <c r="EMG116" s="210"/>
      <c r="EMH116" s="210"/>
      <c r="EMI116" s="211"/>
      <c r="EMJ116" s="210"/>
      <c r="EMK116" s="210"/>
      <c r="EML116" s="210"/>
      <c r="EMM116" s="210"/>
      <c r="EMN116" s="212"/>
      <c r="EMO116" s="196"/>
      <c r="EMP116" s="197"/>
      <c r="EMQ116" s="209"/>
      <c r="EMR116" s="209"/>
      <c r="EMS116" s="210"/>
      <c r="EMT116" s="210"/>
      <c r="EMU116" s="211"/>
      <c r="EMV116" s="210"/>
      <c r="EMW116" s="210"/>
      <c r="EMX116" s="210"/>
      <c r="EMY116" s="210"/>
      <c r="EMZ116" s="212"/>
      <c r="ENA116" s="196"/>
      <c r="ENB116" s="197"/>
      <c r="ENC116" s="209"/>
      <c r="END116" s="209"/>
      <c r="ENE116" s="210"/>
      <c r="ENF116" s="210"/>
      <c r="ENG116" s="211"/>
      <c r="ENH116" s="210"/>
      <c r="ENI116" s="210"/>
      <c r="ENJ116" s="210"/>
      <c r="ENK116" s="210"/>
      <c r="ENL116" s="212"/>
      <c r="ENM116" s="196"/>
      <c r="ENN116" s="197"/>
      <c r="ENO116" s="209"/>
      <c r="ENP116" s="209"/>
      <c r="ENQ116" s="210"/>
      <c r="ENR116" s="210"/>
      <c r="ENS116" s="211"/>
      <c r="ENT116" s="210"/>
      <c r="ENU116" s="210"/>
      <c r="ENV116" s="210"/>
      <c r="ENW116" s="210"/>
      <c r="ENX116" s="212"/>
      <c r="ENY116" s="196"/>
      <c r="ENZ116" s="197"/>
      <c r="EOA116" s="209"/>
      <c r="EOB116" s="209"/>
      <c r="EOC116" s="210"/>
      <c r="EOD116" s="210"/>
      <c r="EOE116" s="211"/>
      <c r="EOF116" s="210"/>
      <c r="EOG116" s="210"/>
      <c r="EOH116" s="210"/>
      <c r="EOI116" s="210"/>
      <c r="EOJ116" s="212"/>
      <c r="EOK116" s="196"/>
      <c r="EOL116" s="197"/>
      <c r="EOM116" s="209"/>
      <c r="EON116" s="209"/>
      <c r="EOO116" s="210"/>
      <c r="EOP116" s="210"/>
      <c r="EOQ116" s="211"/>
      <c r="EOR116" s="210"/>
      <c r="EOS116" s="210"/>
      <c r="EOT116" s="210"/>
      <c r="EOU116" s="210"/>
      <c r="EOV116" s="212"/>
      <c r="EOW116" s="196"/>
      <c r="EOX116" s="197"/>
      <c r="EOY116" s="209"/>
      <c r="EOZ116" s="209"/>
      <c r="EPA116" s="210"/>
      <c r="EPB116" s="210"/>
      <c r="EPC116" s="211"/>
      <c r="EPD116" s="210"/>
      <c r="EPE116" s="210"/>
      <c r="EPF116" s="210"/>
      <c r="EPG116" s="210"/>
      <c r="EPH116" s="212"/>
      <c r="EPI116" s="196"/>
      <c r="EPJ116" s="197"/>
      <c r="EPK116" s="209"/>
      <c r="EPL116" s="209"/>
      <c r="EPM116" s="210"/>
      <c r="EPN116" s="210"/>
      <c r="EPO116" s="211"/>
      <c r="EPP116" s="210"/>
      <c r="EPQ116" s="210"/>
      <c r="EPR116" s="210"/>
      <c r="EPS116" s="210"/>
      <c r="EPT116" s="212"/>
      <c r="EPU116" s="196"/>
      <c r="EPV116" s="197"/>
      <c r="EPW116" s="209"/>
      <c r="EPX116" s="209"/>
      <c r="EPY116" s="210"/>
      <c r="EPZ116" s="210"/>
      <c r="EQA116" s="211"/>
      <c r="EQB116" s="210"/>
      <c r="EQC116" s="210"/>
      <c r="EQD116" s="210"/>
      <c r="EQE116" s="210"/>
      <c r="EQF116" s="212"/>
      <c r="EQG116" s="196"/>
      <c r="EQH116" s="197"/>
      <c r="EQI116" s="209"/>
      <c r="EQJ116" s="209"/>
      <c r="EQK116" s="210"/>
      <c r="EQL116" s="210"/>
      <c r="EQM116" s="211"/>
      <c r="EQN116" s="210"/>
      <c r="EQO116" s="210"/>
      <c r="EQP116" s="210"/>
      <c r="EQQ116" s="210"/>
      <c r="EQR116" s="212"/>
      <c r="EQS116" s="196"/>
      <c r="EQT116" s="197"/>
      <c r="EQU116" s="209"/>
      <c r="EQV116" s="209"/>
      <c r="EQW116" s="210"/>
      <c r="EQX116" s="210"/>
      <c r="EQY116" s="211"/>
      <c r="EQZ116" s="210"/>
      <c r="ERA116" s="210"/>
      <c r="ERB116" s="210"/>
      <c r="ERC116" s="210"/>
      <c r="ERD116" s="212"/>
      <c r="ERE116" s="196"/>
      <c r="ERF116" s="197"/>
      <c r="ERG116" s="209"/>
      <c r="ERH116" s="209"/>
      <c r="ERI116" s="210"/>
      <c r="ERJ116" s="210"/>
      <c r="ERK116" s="211"/>
      <c r="ERL116" s="210"/>
      <c r="ERM116" s="210"/>
      <c r="ERN116" s="210"/>
      <c r="ERO116" s="210"/>
      <c r="ERP116" s="212"/>
      <c r="ERQ116" s="196"/>
      <c r="ERR116" s="197"/>
      <c r="ERS116" s="209"/>
      <c r="ERT116" s="209"/>
      <c r="ERU116" s="210"/>
      <c r="ERV116" s="210"/>
      <c r="ERW116" s="211"/>
      <c r="ERX116" s="210"/>
      <c r="ERY116" s="210"/>
      <c r="ERZ116" s="210"/>
      <c r="ESA116" s="210"/>
      <c r="ESB116" s="212"/>
      <c r="ESC116" s="196"/>
      <c r="ESD116" s="197"/>
      <c r="ESE116" s="209"/>
      <c r="ESF116" s="209"/>
      <c r="ESG116" s="210"/>
      <c r="ESH116" s="210"/>
      <c r="ESI116" s="211"/>
      <c r="ESJ116" s="210"/>
      <c r="ESK116" s="210"/>
      <c r="ESL116" s="210"/>
      <c r="ESM116" s="210"/>
      <c r="ESN116" s="212"/>
      <c r="ESO116" s="196"/>
      <c r="ESP116" s="197"/>
      <c r="ESQ116" s="209"/>
      <c r="ESR116" s="209"/>
      <c r="ESS116" s="210"/>
      <c r="EST116" s="210"/>
      <c r="ESU116" s="211"/>
      <c r="ESV116" s="210"/>
      <c r="ESW116" s="210"/>
      <c r="ESX116" s="210"/>
      <c r="ESY116" s="210"/>
      <c r="ESZ116" s="212"/>
      <c r="ETA116" s="196"/>
      <c r="ETB116" s="197"/>
      <c r="ETC116" s="209"/>
      <c r="ETD116" s="209"/>
      <c r="ETE116" s="210"/>
      <c r="ETF116" s="210"/>
      <c r="ETG116" s="211"/>
      <c r="ETH116" s="210"/>
      <c r="ETI116" s="210"/>
      <c r="ETJ116" s="210"/>
      <c r="ETK116" s="210"/>
      <c r="ETL116" s="212"/>
      <c r="ETM116" s="196"/>
      <c r="ETN116" s="197"/>
      <c r="ETO116" s="209"/>
      <c r="ETP116" s="209"/>
      <c r="ETQ116" s="210"/>
      <c r="ETR116" s="210"/>
      <c r="ETS116" s="211"/>
      <c r="ETT116" s="210"/>
      <c r="ETU116" s="210"/>
      <c r="ETV116" s="210"/>
      <c r="ETW116" s="210"/>
      <c r="ETX116" s="212"/>
      <c r="ETY116" s="196"/>
      <c r="ETZ116" s="197"/>
      <c r="EUA116" s="209"/>
      <c r="EUB116" s="209"/>
      <c r="EUC116" s="210"/>
      <c r="EUD116" s="210"/>
      <c r="EUE116" s="211"/>
      <c r="EUF116" s="210"/>
      <c r="EUG116" s="210"/>
      <c r="EUH116" s="210"/>
      <c r="EUI116" s="210"/>
      <c r="EUJ116" s="212"/>
      <c r="EUK116" s="196"/>
      <c r="EUL116" s="197"/>
      <c r="EUM116" s="209"/>
      <c r="EUN116" s="209"/>
      <c r="EUO116" s="210"/>
      <c r="EUP116" s="210"/>
      <c r="EUQ116" s="211"/>
      <c r="EUR116" s="210"/>
      <c r="EUS116" s="210"/>
      <c r="EUT116" s="210"/>
      <c r="EUU116" s="210"/>
      <c r="EUV116" s="212"/>
      <c r="EUW116" s="196"/>
      <c r="EUX116" s="197"/>
      <c r="EUY116" s="209"/>
      <c r="EUZ116" s="209"/>
      <c r="EVA116" s="210"/>
      <c r="EVB116" s="210"/>
      <c r="EVC116" s="211"/>
      <c r="EVD116" s="210"/>
      <c r="EVE116" s="210"/>
      <c r="EVF116" s="210"/>
      <c r="EVG116" s="210"/>
      <c r="EVH116" s="212"/>
      <c r="EVI116" s="196"/>
      <c r="EVJ116" s="197"/>
      <c r="EVK116" s="209"/>
      <c r="EVL116" s="209"/>
      <c r="EVM116" s="210"/>
      <c r="EVN116" s="210"/>
      <c r="EVO116" s="211"/>
      <c r="EVP116" s="210"/>
      <c r="EVQ116" s="210"/>
      <c r="EVR116" s="210"/>
      <c r="EVS116" s="210"/>
      <c r="EVT116" s="212"/>
      <c r="EVU116" s="196"/>
      <c r="EVV116" s="197"/>
      <c r="EVW116" s="209"/>
      <c r="EVX116" s="209"/>
      <c r="EVY116" s="210"/>
      <c r="EVZ116" s="210"/>
      <c r="EWA116" s="211"/>
      <c r="EWB116" s="210"/>
      <c r="EWC116" s="210"/>
      <c r="EWD116" s="210"/>
      <c r="EWE116" s="210"/>
      <c r="EWF116" s="212"/>
      <c r="EWG116" s="196"/>
      <c r="EWH116" s="197"/>
      <c r="EWI116" s="209"/>
      <c r="EWJ116" s="209"/>
      <c r="EWK116" s="210"/>
      <c r="EWL116" s="210"/>
      <c r="EWM116" s="211"/>
      <c r="EWN116" s="210"/>
      <c r="EWO116" s="210"/>
      <c r="EWP116" s="210"/>
      <c r="EWQ116" s="210"/>
      <c r="EWR116" s="212"/>
      <c r="EWS116" s="196"/>
      <c r="EWT116" s="197"/>
      <c r="EWU116" s="209"/>
      <c r="EWV116" s="209"/>
      <c r="EWW116" s="210"/>
      <c r="EWX116" s="210"/>
      <c r="EWY116" s="211"/>
      <c r="EWZ116" s="210"/>
      <c r="EXA116" s="210"/>
      <c r="EXB116" s="210"/>
      <c r="EXC116" s="210"/>
      <c r="EXD116" s="212"/>
      <c r="EXE116" s="196"/>
      <c r="EXF116" s="197"/>
      <c r="EXG116" s="209"/>
      <c r="EXH116" s="209"/>
      <c r="EXI116" s="210"/>
      <c r="EXJ116" s="210"/>
      <c r="EXK116" s="211"/>
      <c r="EXL116" s="210"/>
      <c r="EXM116" s="210"/>
      <c r="EXN116" s="210"/>
      <c r="EXO116" s="210"/>
      <c r="EXP116" s="212"/>
      <c r="EXQ116" s="196"/>
      <c r="EXR116" s="197"/>
      <c r="EXS116" s="209"/>
      <c r="EXT116" s="209"/>
      <c r="EXU116" s="210"/>
      <c r="EXV116" s="210"/>
      <c r="EXW116" s="211"/>
      <c r="EXX116" s="210"/>
      <c r="EXY116" s="210"/>
      <c r="EXZ116" s="210"/>
      <c r="EYA116" s="210"/>
      <c r="EYB116" s="212"/>
      <c r="EYC116" s="196"/>
      <c r="EYD116" s="197"/>
      <c r="EYE116" s="209"/>
      <c r="EYF116" s="209"/>
      <c r="EYG116" s="210"/>
      <c r="EYH116" s="210"/>
      <c r="EYI116" s="211"/>
      <c r="EYJ116" s="210"/>
      <c r="EYK116" s="210"/>
      <c r="EYL116" s="210"/>
      <c r="EYM116" s="210"/>
      <c r="EYN116" s="212"/>
      <c r="EYO116" s="196"/>
      <c r="EYP116" s="197"/>
      <c r="EYQ116" s="209"/>
      <c r="EYR116" s="209"/>
      <c r="EYS116" s="210"/>
      <c r="EYT116" s="210"/>
      <c r="EYU116" s="211"/>
      <c r="EYV116" s="210"/>
      <c r="EYW116" s="210"/>
      <c r="EYX116" s="210"/>
      <c r="EYY116" s="210"/>
      <c r="EYZ116" s="212"/>
      <c r="EZA116" s="196"/>
      <c r="EZB116" s="197"/>
      <c r="EZC116" s="209"/>
      <c r="EZD116" s="209"/>
      <c r="EZE116" s="210"/>
      <c r="EZF116" s="210"/>
      <c r="EZG116" s="211"/>
      <c r="EZH116" s="210"/>
      <c r="EZI116" s="210"/>
      <c r="EZJ116" s="210"/>
      <c r="EZK116" s="210"/>
      <c r="EZL116" s="212"/>
      <c r="EZM116" s="196"/>
      <c r="EZN116" s="197"/>
      <c r="EZO116" s="209"/>
      <c r="EZP116" s="209"/>
      <c r="EZQ116" s="210"/>
      <c r="EZR116" s="210"/>
      <c r="EZS116" s="211"/>
      <c r="EZT116" s="210"/>
      <c r="EZU116" s="210"/>
      <c r="EZV116" s="210"/>
      <c r="EZW116" s="210"/>
      <c r="EZX116" s="212"/>
      <c r="EZY116" s="196"/>
      <c r="EZZ116" s="197"/>
      <c r="FAA116" s="209"/>
      <c r="FAB116" s="209"/>
      <c r="FAC116" s="210"/>
      <c r="FAD116" s="210"/>
      <c r="FAE116" s="211"/>
      <c r="FAF116" s="210"/>
      <c r="FAG116" s="210"/>
      <c r="FAH116" s="210"/>
      <c r="FAI116" s="210"/>
      <c r="FAJ116" s="212"/>
      <c r="FAK116" s="196"/>
      <c r="FAL116" s="197"/>
      <c r="FAM116" s="209"/>
      <c r="FAN116" s="209"/>
      <c r="FAO116" s="210"/>
      <c r="FAP116" s="210"/>
      <c r="FAQ116" s="211"/>
      <c r="FAR116" s="210"/>
      <c r="FAS116" s="210"/>
      <c r="FAT116" s="210"/>
      <c r="FAU116" s="210"/>
      <c r="FAV116" s="212"/>
      <c r="FAW116" s="196"/>
      <c r="FAX116" s="197"/>
      <c r="FAY116" s="209"/>
      <c r="FAZ116" s="209"/>
      <c r="FBA116" s="210"/>
      <c r="FBB116" s="210"/>
      <c r="FBC116" s="211"/>
      <c r="FBD116" s="210"/>
      <c r="FBE116" s="210"/>
      <c r="FBF116" s="210"/>
      <c r="FBG116" s="210"/>
      <c r="FBH116" s="212"/>
      <c r="FBI116" s="196"/>
      <c r="FBJ116" s="197"/>
      <c r="FBK116" s="209"/>
      <c r="FBL116" s="209"/>
      <c r="FBM116" s="210"/>
      <c r="FBN116" s="210"/>
      <c r="FBO116" s="211"/>
      <c r="FBP116" s="210"/>
      <c r="FBQ116" s="210"/>
      <c r="FBR116" s="210"/>
      <c r="FBS116" s="210"/>
      <c r="FBT116" s="212"/>
      <c r="FBU116" s="196"/>
      <c r="FBV116" s="197"/>
      <c r="FBW116" s="209"/>
      <c r="FBX116" s="209"/>
      <c r="FBY116" s="210"/>
      <c r="FBZ116" s="210"/>
      <c r="FCA116" s="211"/>
      <c r="FCB116" s="210"/>
      <c r="FCC116" s="210"/>
      <c r="FCD116" s="210"/>
      <c r="FCE116" s="210"/>
      <c r="FCF116" s="212"/>
      <c r="FCG116" s="196"/>
      <c r="FCH116" s="197"/>
      <c r="FCI116" s="209"/>
      <c r="FCJ116" s="209"/>
      <c r="FCK116" s="210"/>
      <c r="FCL116" s="210"/>
      <c r="FCM116" s="211"/>
      <c r="FCN116" s="210"/>
      <c r="FCO116" s="210"/>
      <c r="FCP116" s="210"/>
      <c r="FCQ116" s="210"/>
      <c r="FCR116" s="212"/>
      <c r="FCS116" s="196"/>
      <c r="FCT116" s="197"/>
      <c r="FCU116" s="209"/>
      <c r="FCV116" s="209"/>
      <c r="FCW116" s="210"/>
      <c r="FCX116" s="210"/>
      <c r="FCY116" s="211"/>
      <c r="FCZ116" s="210"/>
      <c r="FDA116" s="210"/>
      <c r="FDB116" s="210"/>
      <c r="FDC116" s="210"/>
      <c r="FDD116" s="212"/>
      <c r="FDE116" s="196"/>
      <c r="FDF116" s="197"/>
      <c r="FDG116" s="209"/>
      <c r="FDH116" s="209"/>
      <c r="FDI116" s="210"/>
      <c r="FDJ116" s="210"/>
      <c r="FDK116" s="211"/>
      <c r="FDL116" s="210"/>
      <c r="FDM116" s="210"/>
      <c r="FDN116" s="210"/>
      <c r="FDO116" s="210"/>
      <c r="FDP116" s="212"/>
      <c r="FDQ116" s="196"/>
      <c r="FDR116" s="197"/>
      <c r="FDS116" s="209"/>
      <c r="FDT116" s="209"/>
      <c r="FDU116" s="210"/>
      <c r="FDV116" s="210"/>
      <c r="FDW116" s="211"/>
      <c r="FDX116" s="210"/>
      <c r="FDY116" s="210"/>
      <c r="FDZ116" s="210"/>
      <c r="FEA116" s="210"/>
      <c r="FEB116" s="212"/>
      <c r="FEC116" s="196"/>
      <c r="FED116" s="197"/>
      <c r="FEE116" s="209"/>
      <c r="FEF116" s="209"/>
      <c r="FEG116" s="210"/>
      <c r="FEH116" s="210"/>
      <c r="FEI116" s="211"/>
      <c r="FEJ116" s="210"/>
      <c r="FEK116" s="210"/>
      <c r="FEL116" s="210"/>
      <c r="FEM116" s="210"/>
      <c r="FEN116" s="212"/>
      <c r="FEO116" s="196"/>
      <c r="FEP116" s="197"/>
      <c r="FEQ116" s="209"/>
      <c r="FER116" s="209"/>
      <c r="FES116" s="210"/>
      <c r="FET116" s="210"/>
      <c r="FEU116" s="211"/>
      <c r="FEV116" s="210"/>
      <c r="FEW116" s="210"/>
      <c r="FEX116" s="210"/>
      <c r="FEY116" s="210"/>
      <c r="FEZ116" s="212"/>
      <c r="FFA116" s="196"/>
      <c r="FFB116" s="197"/>
      <c r="FFC116" s="209"/>
      <c r="FFD116" s="209"/>
      <c r="FFE116" s="210"/>
      <c r="FFF116" s="210"/>
      <c r="FFG116" s="211"/>
      <c r="FFH116" s="210"/>
      <c r="FFI116" s="210"/>
      <c r="FFJ116" s="210"/>
      <c r="FFK116" s="210"/>
      <c r="FFL116" s="212"/>
      <c r="FFM116" s="196"/>
      <c r="FFN116" s="197"/>
      <c r="FFO116" s="209"/>
      <c r="FFP116" s="209"/>
      <c r="FFQ116" s="210"/>
      <c r="FFR116" s="210"/>
      <c r="FFS116" s="211"/>
      <c r="FFT116" s="210"/>
      <c r="FFU116" s="210"/>
      <c r="FFV116" s="210"/>
      <c r="FFW116" s="210"/>
      <c r="FFX116" s="212"/>
      <c r="FFY116" s="196"/>
      <c r="FFZ116" s="197"/>
      <c r="FGA116" s="209"/>
      <c r="FGB116" s="209"/>
      <c r="FGC116" s="210"/>
      <c r="FGD116" s="210"/>
      <c r="FGE116" s="211"/>
      <c r="FGF116" s="210"/>
      <c r="FGG116" s="210"/>
      <c r="FGH116" s="210"/>
      <c r="FGI116" s="210"/>
      <c r="FGJ116" s="212"/>
      <c r="FGK116" s="196"/>
      <c r="FGL116" s="197"/>
      <c r="FGM116" s="209"/>
      <c r="FGN116" s="209"/>
      <c r="FGO116" s="210"/>
      <c r="FGP116" s="210"/>
      <c r="FGQ116" s="211"/>
      <c r="FGR116" s="210"/>
      <c r="FGS116" s="210"/>
      <c r="FGT116" s="210"/>
      <c r="FGU116" s="210"/>
      <c r="FGV116" s="212"/>
      <c r="FGW116" s="196"/>
      <c r="FGX116" s="197"/>
      <c r="FGY116" s="209"/>
      <c r="FGZ116" s="209"/>
      <c r="FHA116" s="210"/>
      <c r="FHB116" s="210"/>
      <c r="FHC116" s="211"/>
      <c r="FHD116" s="210"/>
      <c r="FHE116" s="210"/>
      <c r="FHF116" s="210"/>
      <c r="FHG116" s="210"/>
      <c r="FHH116" s="212"/>
      <c r="FHI116" s="196"/>
      <c r="FHJ116" s="197"/>
      <c r="FHK116" s="209"/>
      <c r="FHL116" s="209"/>
      <c r="FHM116" s="210"/>
      <c r="FHN116" s="210"/>
      <c r="FHO116" s="211"/>
      <c r="FHP116" s="210"/>
      <c r="FHQ116" s="210"/>
      <c r="FHR116" s="210"/>
      <c r="FHS116" s="210"/>
      <c r="FHT116" s="212"/>
      <c r="FHU116" s="196"/>
      <c r="FHV116" s="197"/>
      <c r="FHW116" s="209"/>
      <c r="FHX116" s="209"/>
      <c r="FHY116" s="210"/>
      <c r="FHZ116" s="210"/>
      <c r="FIA116" s="211"/>
      <c r="FIB116" s="210"/>
      <c r="FIC116" s="210"/>
      <c r="FID116" s="210"/>
      <c r="FIE116" s="210"/>
      <c r="FIF116" s="212"/>
      <c r="FIG116" s="196"/>
      <c r="FIH116" s="197"/>
      <c r="FII116" s="209"/>
      <c r="FIJ116" s="209"/>
      <c r="FIK116" s="210"/>
      <c r="FIL116" s="210"/>
      <c r="FIM116" s="211"/>
      <c r="FIN116" s="210"/>
      <c r="FIO116" s="210"/>
      <c r="FIP116" s="210"/>
      <c r="FIQ116" s="210"/>
      <c r="FIR116" s="212"/>
      <c r="FIS116" s="196"/>
      <c r="FIT116" s="197"/>
      <c r="FIU116" s="209"/>
      <c r="FIV116" s="209"/>
      <c r="FIW116" s="210"/>
      <c r="FIX116" s="210"/>
      <c r="FIY116" s="211"/>
      <c r="FIZ116" s="210"/>
      <c r="FJA116" s="210"/>
      <c r="FJB116" s="210"/>
      <c r="FJC116" s="210"/>
      <c r="FJD116" s="212"/>
      <c r="FJE116" s="196"/>
      <c r="FJF116" s="197"/>
      <c r="FJG116" s="209"/>
      <c r="FJH116" s="209"/>
      <c r="FJI116" s="210"/>
      <c r="FJJ116" s="210"/>
      <c r="FJK116" s="211"/>
      <c r="FJL116" s="210"/>
      <c r="FJM116" s="210"/>
      <c r="FJN116" s="210"/>
      <c r="FJO116" s="210"/>
      <c r="FJP116" s="212"/>
      <c r="FJQ116" s="196"/>
      <c r="FJR116" s="197"/>
      <c r="FJS116" s="209"/>
      <c r="FJT116" s="209"/>
      <c r="FJU116" s="210"/>
      <c r="FJV116" s="210"/>
      <c r="FJW116" s="211"/>
      <c r="FJX116" s="210"/>
      <c r="FJY116" s="210"/>
      <c r="FJZ116" s="210"/>
      <c r="FKA116" s="210"/>
      <c r="FKB116" s="212"/>
      <c r="FKC116" s="196"/>
      <c r="FKD116" s="197"/>
      <c r="FKE116" s="209"/>
      <c r="FKF116" s="209"/>
      <c r="FKG116" s="210"/>
      <c r="FKH116" s="210"/>
      <c r="FKI116" s="211"/>
      <c r="FKJ116" s="210"/>
      <c r="FKK116" s="210"/>
      <c r="FKL116" s="210"/>
      <c r="FKM116" s="210"/>
      <c r="FKN116" s="212"/>
      <c r="FKO116" s="196"/>
      <c r="FKP116" s="197"/>
      <c r="FKQ116" s="209"/>
      <c r="FKR116" s="209"/>
      <c r="FKS116" s="210"/>
      <c r="FKT116" s="210"/>
      <c r="FKU116" s="211"/>
      <c r="FKV116" s="210"/>
      <c r="FKW116" s="210"/>
      <c r="FKX116" s="210"/>
      <c r="FKY116" s="210"/>
      <c r="FKZ116" s="212"/>
      <c r="FLA116" s="196"/>
      <c r="FLB116" s="197"/>
      <c r="FLC116" s="209"/>
      <c r="FLD116" s="209"/>
      <c r="FLE116" s="210"/>
      <c r="FLF116" s="210"/>
      <c r="FLG116" s="211"/>
      <c r="FLH116" s="210"/>
      <c r="FLI116" s="210"/>
      <c r="FLJ116" s="210"/>
      <c r="FLK116" s="210"/>
      <c r="FLL116" s="212"/>
      <c r="FLM116" s="196"/>
      <c r="FLN116" s="197"/>
      <c r="FLO116" s="209"/>
      <c r="FLP116" s="209"/>
      <c r="FLQ116" s="210"/>
      <c r="FLR116" s="210"/>
      <c r="FLS116" s="211"/>
      <c r="FLT116" s="210"/>
      <c r="FLU116" s="210"/>
      <c r="FLV116" s="210"/>
      <c r="FLW116" s="210"/>
      <c r="FLX116" s="212"/>
      <c r="FLY116" s="196"/>
      <c r="FLZ116" s="197"/>
      <c r="FMA116" s="209"/>
      <c r="FMB116" s="209"/>
      <c r="FMC116" s="210"/>
      <c r="FMD116" s="210"/>
      <c r="FME116" s="211"/>
      <c r="FMF116" s="210"/>
      <c r="FMG116" s="210"/>
      <c r="FMH116" s="210"/>
      <c r="FMI116" s="210"/>
      <c r="FMJ116" s="212"/>
      <c r="FMK116" s="196"/>
      <c r="FML116" s="197"/>
      <c r="FMM116" s="209"/>
      <c r="FMN116" s="209"/>
      <c r="FMO116" s="210"/>
      <c r="FMP116" s="210"/>
      <c r="FMQ116" s="211"/>
      <c r="FMR116" s="210"/>
      <c r="FMS116" s="210"/>
      <c r="FMT116" s="210"/>
      <c r="FMU116" s="210"/>
      <c r="FMV116" s="212"/>
      <c r="FMW116" s="196"/>
      <c r="FMX116" s="197"/>
      <c r="FMY116" s="209"/>
      <c r="FMZ116" s="209"/>
      <c r="FNA116" s="210"/>
      <c r="FNB116" s="210"/>
      <c r="FNC116" s="211"/>
      <c r="FND116" s="210"/>
      <c r="FNE116" s="210"/>
      <c r="FNF116" s="210"/>
      <c r="FNG116" s="210"/>
      <c r="FNH116" s="212"/>
      <c r="FNI116" s="196"/>
      <c r="FNJ116" s="197"/>
      <c r="FNK116" s="209"/>
      <c r="FNL116" s="209"/>
      <c r="FNM116" s="210"/>
      <c r="FNN116" s="210"/>
      <c r="FNO116" s="211"/>
      <c r="FNP116" s="210"/>
      <c r="FNQ116" s="210"/>
      <c r="FNR116" s="210"/>
      <c r="FNS116" s="210"/>
      <c r="FNT116" s="212"/>
      <c r="FNU116" s="196"/>
      <c r="FNV116" s="197"/>
      <c r="FNW116" s="209"/>
      <c r="FNX116" s="209"/>
      <c r="FNY116" s="210"/>
      <c r="FNZ116" s="210"/>
      <c r="FOA116" s="211"/>
      <c r="FOB116" s="210"/>
      <c r="FOC116" s="210"/>
      <c r="FOD116" s="210"/>
      <c r="FOE116" s="210"/>
      <c r="FOF116" s="212"/>
      <c r="FOG116" s="196"/>
      <c r="FOH116" s="197"/>
      <c r="FOI116" s="209"/>
      <c r="FOJ116" s="209"/>
      <c r="FOK116" s="210"/>
      <c r="FOL116" s="210"/>
      <c r="FOM116" s="211"/>
      <c r="FON116" s="210"/>
      <c r="FOO116" s="210"/>
      <c r="FOP116" s="210"/>
      <c r="FOQ116" s="210"/>
      <c r="FOR116" s="212"/>
      <c r="FOS116" s="196"/>
      <c r="FOT116" s="197"/>
      <c r="FOU116" s="209"/>
      <c r="FOV116" s="209"/>
      <c r="FOW116" s="210"/>
      <c r="FOX116" s="210"/>
      <c r="FOY116" s="211"/>
      <c r="FOZ116" s="210"/>
      <c r="FPA116" s="210"/>
      <c r="FPB116" s="210"/>
      <c r="FPC116" s="210"/>
      <c r="FPD116" s="212"/>
      <c r="FPE116" s="196"/>
      <c r="FPF116" s="197"/>
      <c r="FPG116" s="209"/>
      <c r="FPH116" s="209"/>
      <c r="FPI116" s="210"/>
      <c r="FPJ116" s="210"/>
      <c r="FPK116" s="211"/>
      <c r="FPL116" s="210"/>
      <c r="FPM116" s="210"/>
      <c r="FPN116" s="210"/>
      <c r="FPO116" s="210"/>
      <c r="FPP116" s="212"/>
      <c r="FPQ116" s="196"/>
      <c r="FPR116" s="197"/>
      <c r="FPS116" s="209"/>
      <c r="FPT116" s="209"/>
      <c r="FPU116" s="210"/>
      <c r="FPV116" s="210"/>
      <c r="FPW116" s="211"/>
      <c r="FPX116" s="210"/>
      <c r="FPY116" s="210"/>
      <c r="FPZ116" s="210"/>
      <c r="FQA116" s="210"/>
      <c r="FQB116" s="212"/>
      <c r="FQC116" s="196"/>
      <c r="FQD116" s="197"/>
      <c r="FQE116" s="209"/>
      <c r="FQF116" s="209"/>
      <c r="FQG116" s="210"/>
      <c r="FQH116" s="210"/>
      <c r="FQI116" s="211"/>
      <c r="FQJ116" s="210"/>
      <c r="FQK116" s="210"/>
      <c r="FQL116" s="210"/>
      <c r="FQM116" s="210"/>
      <c r="FQN116" s="212"/>
      <c r="FQO116" s="196"/>
      <c r="FQP116" s="197"/>
      <c r="FQQ116" s="209"/>
      <c r="FQR116" s="209"/>
      <c r="FQS116" s="210"/>
      <c r="FQT116" s="210"/>
      <c r="FQU116" s="211"/>
      <c r="FQV116" s="210"/>
      <c r="FQW116" s="210"/>
      <c r="FQX116" s="210"/>
      <c r="FQY116" s="210"/>
      <c r="FQZ116" s="212"/>
      <c r="FRA116" s="196"/>
      <c r="FRB116" s="197"/>
      <c r="FRC116" s="209"/>
      <c r="FRD116" s="209"/>
      <c r="FRE116" s="210"/>
      <c r="FRF116" s="210"/>
      <c r="FRG116" s="211"/>
      <c r="FRH116" s="210"/>
      <c r="FRI116" s="210"/>
      <c r="FRJ116" s="210"/>
      <c r="FRK116" s="210"/>
      <c r="FRL116" s="212"/>
      <c r="FRM116" s="196"/>
      <c r="FRN116" s="197"/>
      <c r="FRO116" s="209"/>
      <c r="FRP116" s="209"/>
      <c r="FRQ116" s="210"/>
      <c r="FRR116" s="210"/>
      <c r="FRS116" s="211"/>
      <c r="FRT116" s="210"/>
      <c r="FRU116" s="210"/>
      <c r="FRV116" s="210"/>
      <c r="FRW116" s="210"/>
      <c r="FRX116" s="212"/>
      <c r="FRY116" s="196"/>
      <c r="FRZ116" s="197"/>
      <c r="FSA116" s="209"/>
      <c r="FSB116" s="209"/>
      <c r="FSC116" s="210"/>
      <c r="FSD116" s="210"/>
      <c r="FSE116" s="211"/>
      <c r="FSF116" s="210"/>
      <c r="FSG116" s="210"/>
      <c r="FSH116" s="210"/>
      <c r="FSI116" s="210"/>
      <c r="FSJ116" s="212"/>
      <c r="FSK116" s="196"/>
      <c r="FSL116" s="197"/>
      <c r="FSM116" s="209"/>
      <c r="FSN116" s="209"/>
      <c r="FSO116" s="210"/>
      <c r="FSP116" s="210"/>
      <c r="FSQ116" s="211"/>
      <c r="FSR116" s="210"/>
      <c r="FSS116" s="210"/>
      <c r="FST116" s="210"/>
      <c r="FSU116" s="210"/>
      <c r="FSV116" s="212"/>
      <c r="FSW116" s="196"/>
      <c r="FSX116" s="197"/>
      <c r="FSY116" s="209"/>
      <c r="FSZ116" s="209"/>
      <c r="FTA116" s="210"/>
      <c r="FTB116" s="210"/>
      <c r="FTC116" s="211"/>
      <c r="FTD116" s="210"/>
      <c r="FTE116" s="210"/>
      <c r="FTF116" s="210"/>
      <c r="FTG116" s="210"/>
      <c r="FTH116" s="212"/>
      <c r="FTI116" s="196"/>
      <c r="FTJ116" s="197"/>
      <c r="FTK116" s="209"/>
      <c r="FTL116" s="209"/>
      <c r="FTM116" s="210"/>
      <c r="FTN116" s="210"/>
      <c r="FTO116" s="211"/>
      <c r="FTP116" s="210"/>
      <c r="FTQ116" s="210"/>
      <c r="FTR116" s="210"/>
      <c r="FTS116" s="210"/>
      <c r="FTT116" s="212"/>
      <c r="FTU116" s="196"/>
      <c r="FTV116" s="197"/>
      <c r="FTW116" s="209"/>
      <c r="FTX116" s="209"/>
      <c r="FTY116" s="210"/>
      <c r="FTZ116" s="210"/>
      <c r="FUA116" s="211"/>
      <c r="FUB116" s="210"/>
      <c r="FUC116" s="210"/>
      <c r="FUD116" s="210"/>
      <c r="FUE116" s="210"/>
      <c r="FUF116" s="212"/>
      <c r="FUG116" s="196"/>
      <c r="FUH116" s="197"/>
      <c r="FUI116" s="209"/>
      <c r="FUJ116" s="209"/>
      <c r="FUK116" s="210"/>
      <c r="FUL116" s="210"/>
      <c r="FUM116" s="211"/>
      <c r="FUN116" s="210"/>
      <c r="FUO116" s="210"/>
      <c r="FUP116" s="210"/>
      <c r="FUQ116" s="210"/>
      <c r="FUR116" s="212"/>
      <c r="FUS116" s="196"/>
      <c r="FUT116" s="197"/>
      <c r="FUU116" s="209"/>
      <c r="FUV116" s="209"/>
      <c r="FUW116" s="210"/>
      <c r="FUX116" s="210"/>
      <c r="FUY116" s="211"/>
      <c r="FUZ116" s="210"/>
      <c r="FVA116" s="210"/>
      <c r="FVB116" s="210"/>
      <c r="FVC116" s="210"/>
      <c r="FVD116" s="212"/>
      <c r="FVE116" s="196"/>
      <c r="FVF116" s="197"/>
      <c r="FVG116" s="209"/>
      <c r="FVH116" s="209"/>
      <c r="FVI116" s="210"/>
      <c r="FVJ116" s="210"/>
      <c r="FVK116" s="211"/>
      <c r="FVL116" s="210"/>
      <c r="FVM116" s="210"/>
      <c r="FVN116" s="210"/>
      <c r="FVO116" s="210"/>
      <c r="FVP116" s="212"/>
      <c r="FVQ116" s="196"/>
      <c r="FVR116" s="197"/>
      <c r="FVS116" s="209"/>
      <c r="FVT116" s="209"/>
      <c r="FVU116" s="210"/>
      <c r="FVV116" s="210"/>
      <c r="FVW116" s="211"/>
      <c r="FVX116" s="210"/>
      <c r="FVY116" s="210"/>
      <c r="FVZ116" s="210"/>
      <c r="FWA116" s="210"/>
      <c r="FWB116" s="212"/>
      <c r="FWC116" s="196"/>
      <c r="FWD116" s="197"/>
      <c r="FWE116" s="209"/>
      <c r="FWF116" s="209"/>
      <c r="FWG116" s="210"/>
      <c r="FWH116" s="210"/>
      <c r="FWI116" s="211"/>
      <c r="FWJ116" s="210"/>
      <c r="FWK116" s="210"/>
      <c r="FWL116" s="210"/>
      <c r="FWM116" s="210"/>
      <c r="FWN116" s="212"/>
      <c r="FWO116" s="196"/>
      <c r="FWP116" s="197"/>
      <c r="FWQ116" s="209"/>
      <c r="FWR116" s="209"/>
      <c r="FWS116" s="210"/>
      <c r="FWT116" s="210"/>
      <c r="FWU116" s="211"/>
      <c r="FWV116" s="210"/>
      <c r="FWW116" s="210"/>
      <c r="FWX116" s="210"/>
      <c r="FWY116" s="210"/>
      <c r="FWZ116" s="212"/>
      <c r="FXA116" s="196"/>
      <c r="FXB116" s="197"/>
      <c r="FXC116" s="209"/>
      <c r="FXD116" s="209"/>
      <c r="FXE116" s="210"/>
      <c r="FXF116" s="210"/>
      <c r="FXG116" s="211"/>
      <c r="FXH116" s="210"/>
      <c r="FXI116" s="210"/>
      <c r="FXJ116" s="210"/>
      <c r="FXK116" s="210"/>
      <c r="FXL116" s="212"/>
      <c r="FXM116" s="196"/>
      <c r="FXN116" s="197"/>
      <c r="FXO116" s="209"/>
      <c r="FXP116" s="209"/>
      <c r="FXQ116" s="210"/>
      <c r="FXR116" s="210"/>
      <c r="FXS116" s="211"/>
      <c r="FXT116" s="210"/>
      <c r="FXU116" s="210"/>
      <c r="FXV116" s="210"/>
      <c r="FXW116" s="210"/>
      <c r="FXX116" s="212"/>
      <c r="FXY116" s="196"/>
      <c r="FXZ116" s="197"/>
      <c r="FYA116" s="209"/>
      <c r="FYB116" s="209"/>
      <c r="FYC116" s="210"/>
      <c r="FYD116" s="210"/>
      <c r="FYE116" s="211"/>
      <c r="FYF116" s="210"/>
      <c r="FYG116" s="210"/>
      <c r="FYH116" s="210"/>
      <c r="FYI116" s="210"/>
      <c r="FYJ116" s="212"/>
      <c r="FYK116" s="196"/>
      <c r="FYL116" s="197"/>
      <c r="FYM116" s="209"/>
      <c r="FYN116" s="209"/>
      <c r="FYO116" s="210"/>
      <c r="FYP116" s="210"/>
      <c r="FYQ116" s="211"/>
      <c r="FYR116" s="210"/>
      <c r="FYS116" s="210"/>
      <c r="FYT116" s="210"/>
      <c r="FYU116" s="210"/>
      <c r="FYV116" s="212"/>
      <c r="FYW116" s="196"/>
      <c r="FYX116" s="197"/>
      <c r="FYY116" s="209"/>
      <c r="FYZ116" s="209"/>
      <c r="FZA116" s="210"/>
      <c r="FZB116" s="210"/>
      <c r="FZC116" s="211"/>
      <c r="FZD116" s="210"/>
      <c r="FZE116" s="210"/>
      <c r="FZF116" s="210"/>
      <c r="FZG116" s="210"/>
      <c r="FZH116" s="212"/>
      <c r="FZI116" s="196"/>
      <c r="FZJ116" s="197"/>
      <c r="FZK116" s="209"/>
      <c r="FZL116" s="209"/>
      <c r="FZM116" s="210"/>
      <c r="FZN116" s="210"/>
      <c r="FZO116" s="211"/>
      <c r="FZP116" s="210"/>
      <c r="FZQ116" s="210"/>
      <c r="FZR116" s="210"/>
      <c r="FZS116" s="210"/>
      <c r="FZT116" s="212"/>
      <c r="FZU116" s="196"/>
      <c r="FZV116" s="197"/>
      <c r="FZW116" s="209"/>
      <c r="FZX116" s="209"/>
      <c r="FZY116" s="210"/>
      <c r="FZZ116" s="210"/>
      <c r="GAA116" s="211"/>
      <c r="GAB116" s="210"/>
      <c r="GAC116" s="210"/>
      <c r="GAD116" s="210"/>
      <c r="GAE116" s="210"/>
      <c r="GAF116" s="212"/>
      <c r="GAG116" s="196"/>
      <c r="GAH116" s="197"/>
      <c r="GAI116" s="209"/>
      <c r="GAJ116" s="209"/>
      <c r="GAK116" s="210"/>
      <c r="GAL116" s="210"/>
      <c r="GAM116" s="211"/>
      <c r="GAN116" s="210"/>
      <c r="GAO116" s="210"/>
      <c r="GAP116" s="210"/>
      <c r="GAQ116" s="210"/>
      <c r="GAR116" s="212"/>
      <c r="GAS116" s="196"/>
      <c r="GAT116" s="197"/>
      <c r="GAU116" s="209"/>
      <c r="GAV116" s="209"/>
      <c r="GAW116" s="210"/>
      <c r="GAX116" s="210"/>
      <c r="GAY116" s="211"/>
      <c r="GAZ116" s="210"/>
      <c r="GBA116" s="210"/>
      <c r="GBB116" s="210"/>
      <c r="GBC116" s="210"/>
      <c r="GBD116" s="212"/>
      <c r="GBE116" s="196"/>
      <c r="GBF116" s="197"/>
      <c r="GBG116" s="209"/>
      <c r="GBH116" s="209"/>
      <c r="GBI116" s="210"/>
      <c r="GBJ116" s="210"/>
      <c r="GBK116" s="211"/>
      <c r="GBL116" s="210"/>
      <c r="GBM116" s="210"/>
      <c r="GBN116" s="210"/>
      <c r="GBO116" s="210"/>
      <c r="GBP116" s="212"/>
      <c r="GBQ116" s="196"/>
      <c r="GBR116" s="197"/>
      <c r="GBS116" s="209"/>
      <c r="GBT116" s="209"/>
      <c r="GBU116" s="210"/>
      <c r="GBV116" s="210"/>
      <c r="GBW116" s="211"/>
      <c r="GBX116" s="210"/>
      <c r="GBY116" s="210"/>
      <c r="GBZ116" s="210"/>
      <c r="GCA116" s="210"/>
      <c r="GCB116" s="212"/>
      <c r="GCC116" s="196"/>
      <c r="GCD116" s="197"/>
      <c r="GCE116" s="209"/>
      <c r="GCF116" s="209"/>
      <c r="GCG116" s="210"/>
      <c r="GCH116" s="210"/>
      <c r="GCI116" s="211"/>
      <c r="GCJ116" s="210"/>
      <c r="GCK116" s="210"/>
      <c r="GCL116" s="210"/>
      <c r="GCM116" s="210"/>
      <c r="GCN116" s="212"/>
      <c r="GCO116" s="196"/>
      <c r="GCP116" s="197"/>
      <c r="GCQ116" s="209"/>
      <c r="GCR116" s="209"/>
      <c r="GCS116" s="210"/>
      <c r="GCT116" s="210"/>
      <c r="GCU116" s="211"/>
      <c r="GCV116" s="210"/>
      <c r="GCW116" s="210"/>
      <c r="GCX116" s="210"/>
      <c r="GCY116" s="210"/>
      <c r="GCZ116" s="212"/>
      <c r="GDA116" s="196"/>
      <c r="GDB116" s="197"/>
      <c r="GDC116" s="209"/>
      <c r="GDD116" s="209"/>
      <c r="GDE116" s="210"/>
      <c r="GDF116" s="210"/>
      <c r="GDG116" s="211"/>
      <c r="GDH116" s="210"/>
      <c r="GDI116" s="210"/>
      <c r="GDJ116" s="210"/>
      <c r="GDK116" s="210"/>
      <c r="GDL116" s="212"/>
      <c r="GDM116" s="196"/>
      <c r="GDN116" s="197"/>
      <c r="GDO116" s="209"/>
      <c r="GDP116" s="209"/>
      <c r="GDQ116" s="210"/>
      <c r="GDR116" s="210"/>
      <c r="GDS116" s="211"/>
      <c r="GDT116" s="210"/>
      <c r="GDU116" s="210"/>
      <c r="GDV116" s="210"/>
      <c r="GDW116" s="210"/>
      <c r="GDX116" s="212"/>
      <c r="GDY116" s="196"/>
      <c r="GDZ116" s="197"/>
      <c r="GEA116" s="209"/>
      <c r="GEB116" s="209"/>
      <c r="GEC116" s="210"/>
      <c r="GED116" s="210"/>
      <c r="GEE116" s="211"/>
      <c r="GEF116" s="210"/>
      <c r="GEG116" s="210"/>
      <c r="GEH116" s="210"/>
      <c r="GEI116" s="210"/>
      <c r="GEJ116" s="212"/>
      <c r="GEK116" s="196"/>
      <c r="GEL116" s="197"/>
      <c r="GEM116" s="209"/>
      <c r="GEN116" s="209"/>
      <c r="GEO116" s="210"/>
      <c r="GEP116" s="210"/>
      <c r="GEQ116" s="211"/>
      <c r="GER116" s="210"/>
      <c r="GES116" s="210"/>
      <c r="GET116" s="210"/>
      <c r="GEU116" s="210"/>
      <c r="GEV116" s="212"/>
      <c r="GEW116" s="196"/>
      <c r="GEX116" s="197"/>
      <c r="GEY116" s="209"/>
      <c r="GEZ116" s="209"/>
      <c r="GFA116" s="210"/>
      <c r="GFB116" s="210"/>
      <c r="GFC116" s="211"/>
      <c r="GFD116" s="210"/>
      <c r="GFE116" s="210"/>
      <c r="GFF116" s="210"/>
      <c r="GFG116" s="210"/>
      <c r="GFH116" s="212"/>
      <c r="GFI116" s="196"/>
      <c r="GFJ116" s="197"/>
      <c r="GFK116" s="209"/>
      <c r="GFL116" s="209"/>
      <c r="GFM116" s="210"/>
      <c r="GFN116" s="210"/>
      <c r="GFO116" s="211"/>
      <c r="GFP116" s="210"/>
      <c r="GFQ116" s="210"/>
      <c r="GFR116" s="210"/>
      <c r="GFS116" s="210"/>
      <c r="GFT116" s="212"/>
      <c r="GFU116" s="196"/>
      <c r="GFV116" s="197"/>
      <c r="GFW116" s="209"/>
      <c r="GFX116" s="209"/>
      <c r="GFY116" s="210"/>
      <c r="GFZ116" s="210"/>
      <c r="GGA116" s="211"/>
      <c r="GGB116" s="210"/>
      <c r="GGC116" s="210"/>
      <c r="GGD116" s="210"/>
      <c r="GGE116" s="210"/>
      <c r="GGF116" s="212"/>
      <c r="GGG116" s="196"/>
      <c r="GGH116" s="197"/>
      <c r="GGI116" s="209"/>
      <c r="GGJ116" s="209"/>
      <c r="GGK116" s="210"/>
      <c r="GGL116" s="210"/>
      <c r="GGM116" s="211"/>
      <c r="GGN116" s="210"/>
      <c r="GGO116" s="210"/>
      <c r="GGP116" s="210"/>
      <c r="GGQ116" s="210"/>
      <c r="GGR116" s="212"/>
      <c r="GGS116" s="196"/>
      <c r="GGT116" s="197"/>
      <c r="GGU116" s="209"/>
      <c r="GGV116" s="209"/>
      <c r="GGW116" s="210"/>
      <c r="GGX116" s="210"/>
      <c r="GGY116" s="211"/>
      <c r="GGZ116" s="210"/>
      <c r="GHA116" s="210"/>
      <c r="GHB116" s="210"/>
      <c r="GHC116" s="210"/>
      <c r="GHD116" s="212"/>
      <c r="GHE116" s="196"/>
      <c r="GHF116" s="197"/>
      <c r="GHG116" s="209"/>
      <c r="GHH116" s="209"/>
      <c r="GHI116" s="210"/>
      <c r="GHJ116" s="210"/>
      <c r="GHK116" s="211"/>
      <c r="GHL116" s="210"/>
      <c r="GHM116" s="210"/>
      <c r="GHN116" s="210"/>
      <c r="GHO116" s="210"/>
      <c r="GHP116" s="212"/>
      <c r="GHQ116" s="196"/>
      <c r="GHR116" s="197"/>
      <c r="GHS116" s="209"/>
      <c r="GHT116" s="209"/>
      <c r="GHU116" s="210"/>
      <c r="GHV116" s="210"/>
      <c r="GHW116" s="211"/>
      <c r="GHX116" s="210"/>
      <c r="GHY116" s="210"/>
      <c r="GHZ116" s="210"/>
      <c r="GIA116" s="210"/>
      <c r="GIB116" s="212"/>
      <c r="GIC116" s="196"/>
      <c r="GID116" s="197"/>
      <c r="GIE116" s="209"/>
      <c r="GIF116" s="209"/>
      <c r="GIG116" s="210"/>
      <c r="GIH116" s="210"/>
      <c r="GII116" s="211"/>
      <c r="GIJ116" s="210"/>
      <c r="GIK116" s="210"/>
      <c r="GIL116" s="210"/>
      <c r="GIM116" s="210"/>
      <c r="GIN116" s="212"/>
      <c r="GIO116" s="196"/>
      <c r="GIP116" s="197"/>
      <c r="GIQ116" s="209"/>
      <c r="GIR116" s="209"/>
      <c r="GIS116" s="210"/>
      <c r="GIT116" s="210"/>
      <c r="GIU116" s="211"/>
      <c r="GIV116" s="210"/>
      <c r="GIW116" s="210"/>
      <c r="GIX116" s="210"/>
      <c r="GIY116" s="210"/>
      <c r="GIZ116" s="212"/>
      <c r="GJA116" s="196"/>
      <c r="GJB116" s="197"/>
      <c r="GJC116" s="209"/>
      <c r="GJD116" s="209"/>
      <c r="GJE116" s="210"/>
      <c r="GJF116" s="210"/>
      <c r="GJG116" s="211"/>
      <c r="GJH116" s="210"/>
      <c r="GJI116" s="210"/>
      <c r="GJJ116" s="210"/>
      <c r="GJK116" s="210"/>
      <c r="GJL116" s="212"/>
      <c r="GJM116" s="196"/>
      <c r="GJN116" s="197"/>
      <c r="GJO116" s="209"/>
      <c r="GJP116" s="209"/>
      <c r="GJQ116" s="210"/>
      <c r="GJR116" s="210"/>
      <c r="GJS116" s="211"/>
      <c r="GJT116" s="210"/>
      <c r="GJU116" s="210"/>
      <c r="GJV116" s="210"/>
      <c r="GJW116" s="210"/>
      <c r="GJX116" s="212"/>
      <c r="GJY116" s="196"/>
      <c r="GJZ116" s="197"/>
      <c r="GKA116" s="209"/>
      <c r="GKB116" s="209"/>
      <c r="GKC116" s="210"/>
      <c r="GKD116" s="210"/>
      <c r="GKE116" s="211"/>
      <c r="GKF116" s="210"/>
      <c r="GKG116" s="210"/>
      <c r="GKH116" s="210"/>
      <c r="GKI116" s="210"/>
      <c r="GKJ116" s="212"/>
      <c r="GKK116" s="196"/>
      <c r="GKL116" s="197"/>
      <c r="GKM116" s="209"/>
      <c r="GKN116" s="209"/>
      <c r="GKO116" s="210"/>
      <c r="GKP116" s="210"/>
      <c r="GKQ116" s="211"/>
      <c r="GKR116" s="210"/>
      <c r="GKS116" s="210"/>
      <c r="GKT116" s="210"/>
      <c r="GKU116" s="210"/>
      <c r="GKV116" s="212"/>
      <c r="GKW116" s="196"/>
      <c r="GKX116" s="197"/>
      <c r="GKY116" s="209"/>
      <c r="GKZ116" s="209"/>
      <c r="GLA116" s="210"/>
      <c r="GLB116" s="210"/>
      <c r="GLC116" s="211"/>
      <c r="GLD116" s="210"/>
      <c r="GLE116" s="210"/>
      <c r="GLF116" s="210"/>
      <c r="GLG116" s="210"/>
      <c r="GLH116" s="212"/>
      <c r="GLI116" s="196"/>
      <c r="GLJ116" s="197"/>
      <c r="GLK116" s="209"/>
      <c r="GLL116" s="209"/>
      <c r="GLM116" s="210"/>
      <c r="GLN116" s="210"/>
      <c r="GLO116" s="211"/>
      <c r="GLP116" s="210"/>
      <c r="GLQ116" s="210"/>
      <c r="GLR116" s="210"/>
      <c r="GLS116" s="210"/>
      <c r="GLT116" s="212"/>
      <c r="GLU116" s="196"/>
      <c r="GLV116" s="197"/>
      <c r="GLW116" s="209"/>
      <c r="GLX116" s="209"/>
      <c r="GLY116" s="210"/>
      <c r="GLZ116" s="210"/>
      <c r="GMA116" s="211"/>
      <c r="GMB116" s="210"/>
      <c r="GMC116" s="210"/>
      <c r="GMD116" s="210"/>
      <c r="GME116" s="210"/>
      <c r="GMF116" s="212"/>
      <c r="GMG116" s="196"/>
      <c r="GMH116" s="197"/>
      <c r="GMI116" s="209"/>
      <c r="GMJ116" s="209"/>
      <c r="GMK116" s="210"/>
      <c r="GML116" s="210"/>
      <c r="GMM116" s="211"/>
      <c r="GMN116" s="210"/>
      <c r="GMO116" s="210"/>
      <c r="GMP116" s="210"/>
      <c r="GMQ116" s="210"/>
      <c r="GMR116" s="212"/>
      <c r="GMS116" s="196"/>
      <c r="GMT116" s="197"/>
      <c r="GMU116" s="209"/>
      <c r="GMV116" s="209"/>
      <c r="GMW116" s="210"/>
      <c r="GMX116" s="210"/>
      <c r="GMY116" s="211"/>
      <c r="GMZ116" s="210"/>
      <c r="GNA116" s="210"/>
      <c r="GNB116" s="210"/>
      <c r="GNC116" s="210"/>
      <c r="GND116" s="212"/>
      <c r="GNE116" s="196"/>
      <c r="GNF116" s="197"/>
      <c r="GNG116" s="209"/>
      <c r="GNH116" s="209"/>
      <c r="GNI116" s="210"/>
      <c r="GNJ116" s="210"/>
      <c r="GNK116" s="211"/>
      <c r="GNL116" s="210"/>
      <c r="GNM116" s="210"/>
      <c r="GNN116" s="210"/>
      <c r="GNO116" s="210"/>
      <c r="GNP116" s="212"/>
      <c r="GNQ116" s="196"/>
      <c r="GNR116" s="197"/>
      <c r="GNS116" s="209"/>
      <c r="GNT116" s="209"/>
      <c r="GNU116" s="210"/>
      <c r="GNV116" s="210"/>
      <c r="GNW116" s="211"/>
      <c r="GNX116" s="210"/>
      <c r="GNY116" s="210"/>
      <c r="GNZ116" s="210"/>
      <c r="GOA116" s="210"/>
      <c r="GOB116" s="212"/>
      <c r="GOC116" s="196"/>
      <c r="GOD116" s="197"/>
      <c r="GOE116" s="209"/>
      <c r="GOF116" s="209"/>
      <c r="GOG116" s="210"/>
      <c r="GOH116" s="210"/>
      <c r="GOI116" s="211"/>
      <c r="GOJ116" s="210"/>
      <c r="GOK116" s="210"/>
      <c r="GOL116" s="210"/>
      <c r="GOM116" s="210"/>
      <c r="GON116" s="212"/>
      <c r="GOO116" s="196"/>
      <c r="GOP116" s="197"/>
      <c r="GOQ116" s="209"/>
      <c r="GOR116" s="209"/>
      <c r="GOS116" s="210"/>
      <c r="GOT116" s="210"/>
      <c r="GOU116" s="211"/>
      <c r="GOV116" s="210"/>
      <c r="GOW116" s="210"/>
      <c r="GOX116" s="210"/>
      <c r="GOY116" s="210"/>
      <c r="GOZ116" s="212"/>
      <c r="GPA116" s="196"/>
      <c r="GPB116" s="197"/>
      <c r="GPC116" s="209"/>
      <c r="GPD116" s="209"/>
      <c r="GPE116" s="210"/>
      <c r="GPF116" s="210"/>
      <c r="GPG116" s="211"/>
      <c r="GPH116" s="210"/>
      <c r="GPI116" s="210"/>
      <c r="GPJ116" s="210"/>
      <c r="GPK116" s="210"/>
      <c r="GPL116" s="212"/>
      <c r="GPM116" s="196"/>
      <c r="GPN116" s="197"/>
      <c r="GPO116" s="209"/>
      <c r="GPP116" s="209"/>
      <c r="GPQ116" s="210"/>
      <c r="GPR116" s="210"/>
      <c r="GPS116" s="211"/>
      <c r="GPT116" s="210"/>
      <c r="GPU116" s="210"/>
      <c r="GPV116" s="210"/>
      <c r="GPW116" s="210"/>
      <c r="GPX116" s="212"/>
      <c r="GPY116" s="196"/>
      <c r="GPZ116" s="197"/>
      <c r="GQA116" s="209"/>
      <c r="GQB116" s="209"/>
      <c r="GQC116" s="210"/>
      <c r="GQD116" s="210"/>
      <c r="GQE116" s="211"/>
      <c r="GQF116" s="210"/>
      <c r="GQG116" s="210"/>
      <c r="GQH116" s="210"/>
      <c r="GQI116" s="210"/>
      <c r="GQJ116" s="212"/>
      <c r="GQK116" s="196"/>
      <c r="GQL116" s="197"/>
      <c r="GQM116" s="209"/>
      <c r="GQN116" s="209"/>
      <c r="GQO116" s="210"/>
      <c r="GQP116" s="210"/>
      <c r="GQQ116" s="211"/>
      <c r="GQR116" s="210"/>
      <c r="GQS116" s="210"/>
      <c r="GQT116" s="210"/>
      <c r="GQU116" s="210"/>
      <c r="GQV116" s="212"/>
      <c r="GQW116" s="196"/>
      <c r="GQX116" s="197"/>
      <c r="GQY116" s="209"/>
      <c r="GQZ116" s="209"/>
      <c r="GRA116" s="210"/>
      <c r="GRB116" s="210"/>
      <c r="GRC116" s="211"/>
      <c r="GRD116" s="210"/>
      <c r="GRE116" s="210"/>
      <c r="GRF116" s="210"/>
      <c r="GRG116" s="210"/>
      <c r="GRH116" s="212"/>
      <c r="GRI116" s="196"/>
      <c r="GRJ116" s="197"/>
      <c r="GRK116" s="209"/>
      <c r="GRL116" s="209"/>
      <c r="GRM116" s="210"/>
      <c r="GRN116" s="210"/>
      <c r="GRO116" s="211"/>
      <c r="GRP116" s="210"/>
      <c r="GRQ116" s="210"/>
      <c r="GRR116" s="210"/>
      <c r="GRS116" s="210"/>
      <c r="GRT116" s="212"/>
      <c r="GRU116" s="196"/>
      <c r="GRV116" s="197"/>
      <c r="GRW116" s="209"/>
      <c r="GRX116" s="209"/>
      <c r="GRY116" s="210"/>
      <c r="GRZ116" s="210"/>
      <c r="GSA116" s="211"/>
      <c r="GSB116" s="210"/>
      <c r="GSC116" s="210"/>
      <c r="GSD116" s="210"/>
      <c r="GSE116" s="210"/>
      <c r="GSF116" s="212"/>
      <c r="GSG116" s="196"/>
      <c r="GSH116" s="197"/>
      <c r="GSI116" s="209"/>
      <c r="GSJ116" s="209"/>
      <c r="GSK116" s="210"/>
      <c r="GSL116" s="210"/>
      <c r="GSM116" s="211"/>
      <c r="GSN116" s="210"/>
      <c r="GSO116" s="210"/>
      <c r="GSP116" s="210"/>
      <c r="GSQ116" s="210"/>
      <c r="GSR116" s="212"/>
      <c r="GSS116" s="196"/>
      <c r="GST116" s="197"/>
      <c r="GSU116" s="209"/>
      <c r="GSV116" s="209"/>
      <c r="GSW116" s="210"/>
      <c r="GSX116" s="210"/>
      <c r="GSY116" s="211"/>
      <c r="GSZ116" s="210"/>
      <c r="GTA116" s="210"/>
      <c r="GTB116" s="210"/>
      <c r="GTC116" s="210"/>
      <c r="GTD116" s="212"/>
      <c r="GTE116" s="196"/>
      <c r="GTF116" s="197"/>
      <c r="GTG116" s="209"/>
      <c r="GTH116" s="209"/>
      <c r="GTI116" s="210"/>
      <c r="GTJ116" s="210"/>
      <c r="GTK116" s="211"/>
      <c r="GTL116" s="210"/>
      <c r="GTM116" s="210"/>
      <c r="GTN116" s="210"/>
      <c r="GTO116" s="210"/>
      <c r="GTP116" s="212"/>
      <c r="GTQ116" s="196"/>
      <c r="GTR116" s="197"/>
      <c r="GTS116" s="209"/>
      <c r="GTT116" s="209"/>
      <c r="GTU116" s="210"/>
      <c r="GTV116" s="210"/>
      <c r="GTW116" s="211"/>
      <c r="GTX116" s="210"/>
      <c r="GTY116" s="210"/>
      <c r="GTZ116" s="210"/>
      <c r="GUA116" s="210"/>
      <c r="GUB116" s="212"/>
      <c r="GUC116" s="196"/>
      <c r="GUD116" s="197"/>
      <c r="GUE116" s="209"/>
      <c r="GUF116" s="209"/>
      <c r="GUG116" s="210"/>
      <c r="GUH116" s="210"/>
      <c r="GUI116" s="211"/>
      <c r="GUJ116" s="210"/>
      <c r="GUK116" s="210"/>
      <c r="GUL116" s="210"/>
      <c r="GUM116" s="210"/>
      <c r="GUN116" s="212"/>
      <c r="GUO116" s="196"/>
      <c r="GUP116" s="197"/>
      <c r="GUQ116" s="209"/>
      <c r="GUR116" s="209"/>
      <c r="GUS116" s="210"/>
      <c r="GUT116" s="210"/>
      <c r="GUU116" s="211"/>
      <c r="GUV116" s="210"/>
      <c r="GUW116" s="210"/>
      <c r="GUX116" s="210"/>
      <c r="GUY116" s="210"/>
      <c r="GUZ116" s="212"/>
      <c r="GVA116" s="196"/>
      <c r="GVB116" s="197"/>
      <c r="GVC116" s="209"/>
      <c r="GVD116" s="209"/>
      <c r="GVE116" s="210"/>
      <c r="GVF116" s="210"/>
      <c r="GVG116" s="211"/>
      <c r="GVH116" s="210"/>
      <c r="GVI116" s="210"/>
      <c r="GVJ116" s="210"/>
      <c r="GVK116" s="210"/>
      <c r="GVL116" s="212"/>
      <c r="GVM116" s="196"/>
      <c r="GVN116" s="197"/>
      <c r="GVO116" s="209"/>
      <c r="GVP116" s="209"/>
      <c r="GVQ116" s="210"/>
      <c r="GVR116" s="210"/>
      <c r="GVS116" s="211"/>
      <c r="GVT116" s="210"/>
      <c r="GVU116" s="210"/>
      <c r="GVV116" s="210"/>
      <c r="GVW116" s="210"/>
      <c r="GVX116" s="212"/>
      <c r="GVY116" s="196"/>
      <c r="GVZ116" s="197"/>
      <c r="GWA116" s="209"/>
      <c r="GWB116" s="209"/>
      <c r="GWC116" s="210"/>
      <c r="GWD116" s="210"/>
      <c r="GWE116" s="211"/>
      <c r="GWF116" s="210"/>
      <c r="GWG116" s="210"/>
      <c r="GWH116" s="210"/>
      <c r="GWI116" s="210"/>
      <c r="GWJ116" s="212"/>
      <c r="GWK116" s="196"/>
      <c r="GWL116" s="197"/>
      <c r="GWM116" s="209"/>
      <c r="GWN116" s="209"/>
      <c r="GWO116" s="210"/>
      <c r="GWP116" s="210"/>
      <c r="GWQ116" s="211"/>
      <c r="GWR116" s="210"/>
      <c r="GWS116" s="210"/>
      <c r="GWT116" s="210"/>
      <c r="GWU116" s="210"/>
      <c r="GWV116" s="212"/>
      <c r="GWW116" s="196"/>
      <c r="GWX116" s="197"/>
      <c r="GWY116" s="209"/>
      <c r="GWZ116" s="209"/>
      <c r="GXA116" s="210"/>
      <c r="GXB116" s="210"/>
      <c r="GXC116" s="211"/>
      <c r="GXD116" s="210"/>
      <c r="GXE116" s="210"/>
      <c r="GXF116" s="210"/>
      <c r="GXG116" s="210"/>
      <c r="GXH116" s="212"/>
      <c r="GXI116" s="196"/>
      <c r="GXJ116" s="197"/>
      <c r="GXK116" s="209"/>
      <c r="GXL116" s="209"/>
      <c r="GXM116" s="210"/>
      <c r="GXN116" s="210"/>
      <c r="GXO116" s="211"/>
      <c r="GXP116" s="210"/>
      <c r="GXQ116" s="210"/>
      <c r="GXR116" s="210"/>
      <c r="GXS116" s="210"/>
      <c r="GXT116" s="212"/>
      <c r="GXU116" s="196"/>
      <c r="GXV116" s="197"/>
      <c r="GXW116" s="209"/>
      <c r="GXX116" s="209"/>
      <c r="GXY116" s="210"/>
      <c r="GXZ116" s="210"/>
      <c r="GYA116" s="211"/>
      <c r="GYB116" s="210"/>
      <c r="GYC116" s="210"/>
      <c r="GYD116" s="210"/>
      <c r="GYE116" s="210"/>
      <c r="GYF116" s="212"/>
      <c r="GYG116" s="196"/>
      <c r="GYH116" s="197"/>
      <c r="GYI116" s="209"/>
      <c r="GYJ116" s="209"/>
      <c r="GYK116" s="210"/>
      <c r="GYL116" s="210"/>
      <c r="GYM116" s="211"/>
      <c r="GYN116" s="210"/>
      <c r="GYO116" s="210"/>
      <c r="GYP116" s="210"/>
      <c r="GYQ116" s="210"/>
      <c r="GYR116" s="212"/>
      <c r="GYS116" s="196"/>
      <c r="GYT116" s="197"/>
      <c r="GYU116" s="209"/>
      <c r="GYV116" s="209"/>
      <c r="GYW116" s="210"/>
      <c r="GYX116" s="210"/>
      <c r="GYY116" s="211"/>
      <c r="GYZ116" s="210"/>
      <c r="GZA116" s="210"/>
      <c r="GZB116" s="210"/>
      <c r="GZC116" s="210"/>
      <c r="GZD116" s="212"/>
      <c r="GZE116" s="196"/>
      <c r="GZF116" s="197"/>
      <c r="GZG116" s="209"/>
      <c r="GZH116" s="209"/>
      <c r="GZI116" s="210"/>
      <c r="GZJ116" s="210"/>
      <c r="GZK116" s="211"/>
      <c r="GZL116" s="210"/>
      <c r="GZM116" s="210"/>
      <c r="GZN116" s="210"/>
      <c r="GZO116" s="210"/>
      <c r="GZP116" s="212"/>
      <c r="GZQ116" s="196"/>
      <c r="GZR116" s="197"/>
      <c r="GZS116" s="209"/>
      <c r="GZT116" s="209"/>
      <c r="GZU116" s="210"/>
      <c r="GZV116" s="210"/>
      <c r="GZW116" s="211"/>
      <c r="GZX116" s="210"/>
      <c r="GZY116" s="210"/>
      <c r="GZZ116" s="210"/>
      <c r="HAA116" s="210"/>
      <c r="HAB116" s="212"/>
      <c r="HAC116" s="196"/>
      <c r="HAD116" s="197"/>
      <c r="HAE116" s="209"/>
      <c r="HAF116" s="209"/>
      <c r="HAG116" s="210"/>
      <c r="HAH116" s="210"/>
      <c r="HAI116" s="211"/>
      <c r="HAJ116" s="210"/>
      <c r="HAK116" s="210"/>
      <c r="HAL116" s="210"/>
      <c r="HAM116" s="210"/>
      <c r="HAN116" s="212"/>
      <c r="HAO116" s="196"/>
      <c r="HAP116" s="197"/>
      <c r="HAQ116" s="209"/>
      <c r="HAR116" s="209"/>
      <c r="HAS116" s="210"/>
      <c r="HAT116" s="210"/>
      <c r="HAU116" s="211"/>
      <c r="HAV116" s="210"/>
      <c r="HAW116" s="210"/>
      <c r="HAX116" s="210"/>
      <c r="HAY116" s="210"/>
      <c r="HAZ116" s="212"/>
      <c r="HBA116" s="196"/>
      <c r="HBB116" s="197"/>
      <c r="HBC116" s="209"/>
      <c r="HBD116" s="209"/>
      <c r="HBE116" s="210"/>
      <c r="HBF116" s="210"/>
      <c r="HBG116" s="211"/>
      <c r="HBH116" s="210"/>
      <c r="HBI116" s="210"/>
      <c r="HBJ116" s="210"/>
      <c r="HBK116" s="210"/>
      <c r="HBL116" s="212"/>
      <c r="HBM116" s="196"/>
      <c r="HBN116" s="197"/>
      <c r="HBO116" s="209"/>
      <c r="HBP116" s="209"/>
      <c r="HBQ116" s="210"/>
      <c r="HBR116" s="210"/>
      <c r="HBS116" s="211"/>
      <c r="HBT116" s="210"/>
      <c r="HBU116" s="210"/>
      <c r="HBV116" s="210"/>
      <c r="HBW116" s="210"/>
      <c r="HBX116" s="212"/>
      <c r="HBY116" s="196"/>
      <c r="HBZ116" s="197"/>
      <c r="HCA116" s="209"/>
      <c r="HCB116" s="209"/>
      <c r="HCC116" s="210"/>
      <c r="HCD116" s="210"/>
      <c r="HCE116" s="211"/>
      <c r="HCF116" s="210"/>
      <c r="HCG116" s="210"/>
      <c r="HCH116" s="210"/>
      <c r="HCI116" s="210"/>
      <c r="HCJ116" s="212"/>
      <c r="HCK116" s="196"/>
      <c r="HCL116" s="197"/>
      <c r="HCM116" s="209"/>
      <c r="HCN116" s="209"/>
      <c r="HCO116" s="210"/>
      <c r="HCP116" s="210"/>
      <c r="HCQ116" s="211"/>
      <c r="HCR116" s="210"/>
      <c r="HCS116" s="210"/>
      <c r="HCT116" s="210"/>
      <c r="HCU116" s="210"/>
      <c r="HCV116" s="212"/>
      <c r="HCW116" s="196"/>
      <c r="HCX116" s="197"/>
      <c r="HCY116" s="209"/>
      <c r="HCZ116" s="209"/>
      <c r="HDA116" s="210"/>
      <c r="HDB116" s="210"/>
      <c r="HDC116" s="211"/>
      <c r="HDD116" s="210"/>
      <c r="HDE116" s="210"/>
      <c r="HDF116" s="210"/>
      <c r="HDG116" s="210"/>
      <c r="HDH116" s="212"/>
      <c r="HDI116" s="196"/>
      <c r="HDJ116" s="197"/>
      <c r="HDK116" s="209"/>
      <c r="HDL116" s="209"/>
      <c r="HDM116" s="210"/>
      <c r="HDN116" s="210"/>
      <c r="HDO116" s="211"/>
      <c r="HDP116" s="210"/>
      <c r="HDQ116" s="210"/>
      <c r="HDR116" s="210"/>
      <c r="HDS116" s="210"/>
      <c r="HDT116" s="212"/>
      <c r="HDU116" s="196"/>
      <c r="HDV116" s="197"/>
      <c r="HDW116" s="209"/>
      <c r="HDX116" s="209"/>
      <c r="HDY116" s="210"/>
      <c r="HDZ116" s="210"/>
      <c r="HEA116" s="211"/>
      <c r="HEB116" s="210"/>
      <c r="HEC116" s="210"/>
      <c r="HED116" s="210"/>
      <c r="HEE116" s="210"/>
      <c r="HEF116" s="212"/>
      <c r="HEG116" s="196"/>
      <c r="HEH116" s="197"/>
      <c r="HEI116" s="209"/>
      <c r="HEJ116" s="209"/>
      <c r="HEK116" s="210"/>
      <c r="HEL116" s="210"/>
      <c r="HEM116" s="211"/>
      <c r="HEN116" s="210"/>
      <c r="HEO116" s="210"/>
      <c r="HEP116" s="210"/>
      <c r="HEQ116" s="210"/>
      <c r="HER116" s="212"/>
      <c r="HES116" s="196"/>
      <c r="HET116" s="197"/>
      <c r="HEU116" s="209"/>
      <c r="HEV116" s="209"/>
      <c r="HEW116" s="210"/>
      <c r="HEX116" s="210"/>
      <c r="HEY116" s="211"/>
      <c r="HEZ116" s="210"/>
      <c r="HFA116" s="210"/>
      <c r="HFB116" s="210"/>
      <c r="HFC116" s="210"/>
      <c r="HFD116" s="212"/>
      <c r="HFE116" s="196"/>
      <c r="HFF116" s="197"/>
      <c r="HFG116" s="209"/>
      <c r="HFH116" s="209"/>
      <c r="HFI116" s="210"/>
      <c r="HFJ116" s="210"/>
      <c r="HFK116" s="211"/>
      <c r="HFL116" s="210"/>
      <c r="HFM116" s="210"/>
      <c r="HFN116" s="210"/>
      <c r="HFO116" s="210"/>
      <c r="HFP116" s="212"/>
      <c r="HFQ116" s="196"/>
      <c r="HFR116" s="197"/>
      <c r="HFS116" s="209"/>
      <c r="HFT116" s="209"/>
      <c r="HFU116" s="210"/>
      <c r="HFV116" s="210"/>
      <c r="HFW116" s="211"/>
      <c r="HFX116" s="210"/>
      <c r="HFY116" s="210"/>
      <c r="HFZ116" s="210"/>
      <c r="HGA116" s="210"/>
      <c r="HGB116" s="212"/>
      <c r="HGC116" s="196"/>
      <c r="HGD116" s="197"/>
      <c r="HGE116" s="209"/>
      <c r="HGF116" s="209"/>
      <c r="HGG116" s="210"/>
      <c r="HGH116" s="210"/>
      <c r="HGI116" s="211"/>
      <c r="HGJ116" s="210"/>
      <c r="HGK116" s="210"/>
      <c r="HGL116" s="210"/>
      <c r="HGM116" s="210"/>
      <c r="HGN116" s="212"/>
      <c r="HGO116" s="196"/>
      <c r="HGP116" s="197"/>
      <c r="HGQ116" s="209"/>
      <c r="HGR116" s="209"/>
      <c r="HGS116" s="210"/>
      <c r="HGT116" s="210"/>
      <c r="HGU116" s="211"/>
      <c r="HGV116" s="210"/>
      <c r="HGW116" s="210"/>
      <c r="HGX116" s="210"/>
      <c r="HGY116" s="210"/>
      <c r="HGZ116" s="212"/>
      <c r="HHA116" s="196"/>
      <c r="HHB116" s="197"/>
      <c r="HHC116" s="209"/>
      <c r="HHD116" s="209"/>
      <c r="HHE116" s="210"/>
      <c r="HHF116" s="210"/>
      <c r="HHG116" s="211"/>
      <c r="HHH116" s="210"/>
      <c r="HHI116" s="210"/>
      <c r="HHJ116" s="210"/>
      <c r="HHK116" s="210"/>
      <c r="HHL116" s="212"/>
      <c r="HHM116" s="196"/>
      <c r="HHN116" s="197"/>
      <c r="HHO116" s="209"/>
      <c r="HHP116" s="209"/>
      <c r="HHQ116" s="210"/>
      <c r="HHR116" s="210"/>
      <c r="HHS116" s="211"/>
      <c r="HHT116" s="210"/>
      <c r="HHU116" s="210"/>
      <c r="HHV116" s="210"/>
      <c r="HHW116" s="210"/>
      <c r="HHX116" s="212"/>
      <c r="HHY116" s="196"/>
      <c r="HHZ116" s="197"/>
      <c r="HIA116" s="209"/>
      <c r="HIB116" s="209"/>
      <c r="HIC116" s="210"/>
      <c r="HID116" s="210"/>
      <c r="HIE116" s="211"/>
      <c r="HIF116" s="210"/>
      <c r="HIG116" s="210"/>
      <c r="HIH116" s="210"/>
      <c r="HII116" s="210"/>
      <c r="HIJ116" s="212"/>
      <c r="HIK116" s="196"/>
      <c r="HIL116" s="197"/>
      <c r="HIM116" s="209"/>
      <c r="HIN116" s="209"/>
      <c r="HIO116" s="210"/>
      <c r="HIP116" s="210"/>
      <c r="HIQ116" s="211"/>
      <c r="HIR116" s="210"/>
      <c r="HIS116" s="210"/>
      <c r="HIT116" s="210"/>
      <c r="HIU116" s="210"/>
      <c r="HIV116" s="212"/>
      <c r="HIW116" s="196"/>
      <c r="HIX116" s="197"/>
      <c r="HIY116" s="209"/>
      <c r="HIZ116" s="209"/>
      <c r="HJA116" s="210"/>
      <c r="HJB116" s="210"/>
      <c r="HJC116" s="211"/>
      <c r="HJD116" s="210"/>
      <c r="HJE116" s="210"/>
      <c r="HJF116" s="210"/>
      <c r="HJG116" s="210"/>
      <c r="HJH116" s="212"/>
      <c r="HJI116" s="196"/>
      <c r="HJJ116" s="197"/>
      <c r="HJK116" s="209"/>
      <c r="HJL116" s="209"/>
      <c r="HJM116" s="210"/>
      <c r="HJN116" s="210"/>
      <c r="HJO116" s="211"/>
      <c r="HJP116" s="210"/>
      <c r="HJQ116" s="210"/>
      <c r="HJR116" s="210"/>
      <c r="HJS116" s="210"/>
      <c r="HJT116" s="212"/>
      <c r="HJU116" s="196"/>
      <c r="HJV116" s="197"/>
      <c r="HJW116" s="209"/>
      <c r="HJX116" s="209"/>
      <c r="HJY116" s="210"/>
      <c r="HJZ116" s="210"/>
      <c r="HKA116" s="211"/>
      <c r="HKB116" s="210"/>
      <c r="HKC116" s="210"/>
      <c r="HKD116" s="210"/>
      <c r="HKE116" s="210"/>
      <c r="HKF116" s="212"/>
      <c r="HKG116" s="196"/>
      <c r="HKH116" s="197"/>
      <c r="HKI116" s="209"/>
      <c r="HKJ116" s="209"/>
      <c r="HKK116" s="210"/>
      <c r="HKL116" s="210"/>
      <c r="HKM116" s="211"/>
      <c r="HKN116" s="210"/>
      <c r="HKO116" s="210"/>
      <c r="HKP116" s="210"/>
      <c r="HKQ116" s="210"/>
      <c r="HKR116" s="212"/>
      <c r="HKS116" s="196"/>
      <c r="HKT116" s="197"/>
      <c r="HKU116" s="209"/>
      <c r="HKV116" s="209"/>
      <c r="HKW116" s="210"/>
      <c r="HKX116" s="210"/>
      <c r="HKY116" s="211"/>
      <c r="HKZ116" s="210"/>
      <c r="HLA116" s="210"/>
      <c r="HLB116" s="210"/>
      <c r="HLC116" s="210"/>
      <c r="HLD116" s="212"/>
      <c r="HLE116" s="196"/>
      <c r="HLF116" s="197"/>
      <c r="HLG116" s="209"/>
      <c r="HLH116" s="209"/>
      <c r="HLI116" s="210"/>
      <c r="HLJ116" s="210"/>
      <c r="HLK116" s="211"/>
      <c r="HLL116" s="210"/>
      <c r="HLM116" s="210"/>
      <c r="HLN116" s="210"/>
      <c r="HLO116" s="210"/>
      <c r="HLP116" s="212"/>
      <c r="HLQ116" s="196"/>
      <c r="HLR116" s="197"/>
      <c r="HLS116" s="209"/>
      <c r="HLT116" s="209"/>
      <c r="HLU116" s="210"/>
      <c r="HLV116" s="210"/>
      <c r="HLW116" s="211"/>
      <c r="HLX116" s="210"/>
      <c r="HLY116" s="210"/>
      <c r="HLZ116" s="210"/>
      <c r="HMA116" s="210"/>
      <c r="HMB116" s="212"/>
      <c r="HMC116" s="196"/>
      <c r="HMD116" s="197"/>
      <c r="HME116" s="209"/>
      <c r="HMF116" s="209"/>
      <c r="HMG116" s="210"/>
      <c r="HMH116" s="210"/>
      <c r="HMI116" s="211"/>
      <c r="HMJ116" s="210"/>
      <c r="HMK116" s="210"/>
      <c r="HML116" s="210"/>
      <c r="HMM116" s="210"/>
      <c r="HMN116" s="212"/>
      <c r="HMO116" s="196"/>
      <c r="HMP116" s="197"/>
      <c r="HMQ116" s="209"/>
      <c r="HMR116" s="209"/>
      <c r="HMS116" s="210"/>
      <c r="HMT116" s="210"/>
      <c r="HMU116" s="211"/>
      <c r="HMV116" s="210"/>
      <c r="HMW116" s="210"/>
      <c r="HMX116" s="210"/>
      <c r="HMY116" s="210"/>
      <c r="HMZ116" s="212"/>
      <c r="HNA116" s="196"/>
      <c r="HNB116" s="197"/>
      <c r="HNC116" s="209"/>
      <c r="HND116" s="209"/>
      <c r="HNE116" s="210"/>
      <c r="HNF116" s="210"/>
      <c r="HNG116" s="211"/>
      <c r="HNH116" s="210"/>
      <c r="HNI116" s="210"/>
      <c r="HNJ116" s="210"/>
      <c r="HNK116" s="210"/>
      <c r="HNL116" s="212"/>
      <c r="HNM116" s="196"/>
      <c r="HNN116" s="197"/>
      <c r="HNO116" s="209"/>
      <c r="HNP116" s="209"/>
      <c r="HNQ116" s="210"/>
      <c r="HNR116" s="210"/>
      <c r="HNS116" s="211"/>
      <c r="HNT116" s="210"/>
      <c r="HNU116" s="210"/>
      <c r="HNV116" s="210"/>
      <c r="HNW116" s="210"/>
      <c r="HNX116" s="212"/>
      <c r="HNY116" s="196"/>
      <c r="HNZ116" s="197"/>
      <c r="HOA116" s="209"/>
      <c r="HOB116" s="209"/>
      <c r="HOC116" s="210"/>
      <c r="HOD116" s="210"/>
      <c r="HOE116" s="211"/>
      <c r="HOF116" s="210"/>
      <c r="HOG116" s="210"/>
      <c r="HOH116" s="210"/>
      <c r="HOI116" s="210"/>
      <c r="HOJ116" s="212"/>
      <c r="HOK116" s="196"/>
      <c r="HOL116" s="197"/>
      <c r="HOM116" s="209"/>
      <c r="HON116" s="209"/>
      <c r="HOO116" s="210"/>
      <c r="HOP116" s="210"/>
      <c r="HOQ116" s="211"/>
      <c r="HOR116" s="210"/>
      <c r="HOS116" s="210"/>
      <c r="HOT116" s="210"/>
      <c r="HOU116" s="210"/>
      <c r="HOV116" s="212"/>
      <c r="HOW116" s="196"/>
      <c r="HOX116" s="197"/>
      <c r="HOY116" s="209"/>
      <c r="HOZ116" s="209"/>
      <c r="HPA116" s="210"/>
      <c r="HPB116" s="210"/>
      <c r="HPC116" s="211"/>
      <c r="HPD116" s="210"/>
      <c r="HPE116" s="210"/>
      <c r="HPF116" s="210"/>
      <c r="HPG116" s="210"/>
      <c r="HPH116" s="212"/>
      <c r="HPI116" s="196"/>
      <c r="HPJ116" s="197"/>
      <c r="HPK116" s="209"/>
      <c r="HPL116" s="209"/>
      <c r="HPM116" s="210"/>
      <c r="HPN116" s="210"/>
      <c r="HPO116" s="211"/>
      <c r="HPP116" s="210"/>
      <c r="HPQ116" s="210"/>
      <c r="HPR116" s="210"/>
      <c r="HPS116" s="210"/>
      <c r="HPT116" s="212"/>
      <c r="HPU116" s="196"/>
      <c r="HPV116" s="197"/>
      <c r="HPW116" s="209"/>
      <c r="HPX116" s="209"/>
      <c r="HPY116" s="210"/>
      <c r="HPZ116" s="210"/>
      <c r="HQA116" s="211"/>
      <c r="HQB116" s="210"/>
      <c r="HQC116" s="210"/>
      <c r="HQD116" s="210"/>
      <c r="HQE116" s="210"/>
      <c r="HQF116" s="212"/>
      <c r="HQG116" s="196"/>
      <c r="HQH116" s="197"/>
      <c r="HQI116" s="209"/>
      <c r="HQJ116" s="209"/>
      <c r="HQK116" s="210"/>
      <c r="HQL116" s="210"/>
      <c r="HQM116" s="211"/>
      <c r="HQN116" s="210"/>
      <c r="HQO116" s="210"/>
      <c r="HQP116" s="210"/>
      <c r="HQQ116" s="210"/>
      <c r="HQR116" s="212"/>
      <c r="HQS116" s="196"/>
      <c r="HQT116" s="197"/>
      <c r="HQU116" s="209"/>
      <c r="HQV116" s="209"/>
      <c r="HQW116" s="210"/>
      <c r="HQX116" s="210"/>
      <c r="HQY116" s="211"/>
      <c r="HQZ116" s="210"/>
      <c r="HRA116" s="210"/>
      <c r="HRB116" s="210"/>
      <c r="HRC116" s="210"/>
      <c r="HRD116" s="212"/>
      <c r="HRE116" s="196"/>
      <c r="HRF116" s="197"/>
      <c r="HRG116" s="209"/>
      <c r="HRH116" s="209"/>
      <c r="HRI116" s="210"/>
      <c r="HRJ116" s="210"/>
      <c r="HRK116" s="211"/>
      <c r="HRL116" s="210"/>
      <c r="HRM116" s="210"/>
      <c r="HRN116" s="210"/>
      <c r="HRO116" s="210"/>
      <c r="HRP116" s="212"/>
      <c r="HRQ116" s="196"/>
      <c r="HRR116" s="197"/>
      <c r="HRS116" s="209"/>
      <c r="HRT116" s="209"/>
      <c r="HRU116" s="210"/>
      <c r="HRV116" s="210"/>
      <c r="HRW116" s="211"/>
      <c r="HRX116" s="210"/>
      <c r="HRY116" s="210"/>
      <c r="HRZ116" s="210"/>
      <c r="HSA116" s="210"/>
      <c r="HSB116" s="212"/>
      <c r="HSC116" s="196"/>
      <c r="HSD116" s="197"/>
      <c r="HSE116" s="209"/>
      <c r="HSF116" s="209"/>
      <c r="HSG116" s="210"/>
      <c r="HSH116" s="210"/>
      <c r="HSI116" s="211"/>
      <c r="HSJ116" s="210"/>
      <c r="HSK116" s="210"/>
      <c r="HSL116" s="210"/>
      <c r="HSM116" s="210"/>
      <c r="HSN116" s="212"/>
      <c r="HSO116" s="196"/>
      <c r="HSP116" s="197"/>
      <c r="HSQ116" s="209"/>
      <c r="HSR116" s="209"/>
      <c r="HSS116" s="210"/>
      <c r="HST116" s="210"/>
      <c r="HSU116" s="211"/>
      <c r="HSV116" s="210"/>
      <c r="HSW116" s="210"/>
      <c r="HSX116" s="210"/>
      <c r="HSY116" s="210"/>
      <c r="HSZ116" s="212"/>
      <c r="HTA116" s="196"/>
      <c r="HTB116" s="197"/>
      <c r="HTC116" s="209"/>
      <c r="HTD116" s="209"/>
      <c r="HTE116" s="210"/>
      <c r="HTF116" s="210"/>
      <c r="HTG116" s="211"/>
      <c r="HTH116" s="210"/>
      <c r="HTI116" s="210"/>
      <c r="HTJ116" s="210"/>
      <c r="HTK116" s="210"/>
      <c r="HTL116" s="212"/>
      <c r="HTM116" s="196"/>
      <c r="HTN116" s="197"/>
      <c r="HTO116" s="209"/>
      <c r="HTP116" s="209"/>
      <c r="HTQ116" s="210"/>
      <c r="HTR116" s="210"/>
      <c r="HTS116" s="211"/>
      <c r="HTT116" s="210"/>
      <c r="HTU116" s="210"/>
      <c r="HTV116" s="210"/>
      <c r="HTW116" s="210"/>
      <c r="HTX116" s="212"/>
      <c r="HTY116" s="196"/>
      <c r="HTZ116" s="197"/>
      <c r="HUA116" s="209"/>
      <c r="HUB116" s="209"/>
      <c r="HUC116" s="210"/>
      <c r="HUD116" s="210"/>
      <c r="HUE116" s="211"/>
      <c r="HUF116" s="210"/>
      <c r="HUG116" s="210"/>
      <c r="HUH116" s="210"/>
      <c r="HUI116" s="210"/>
      <c r="HUJ116" s="212"/>
      <c r="HUK116" s="196"/>
      <c r="HUL116" s="197"/>
      <c r="HUM116" s="209"/>
      <c r="HUN116" s="209"/>
      <c r="HUO116" s="210"/>
      <c r="HUP116" s="210"/>
      <c r="HUQ116" s="211"/>
      <c r="HUR116" s="210"/>
      <c r="HUS116" s="210"/>
      <c r="HUT116" s="210"/>
      <c r="HUU116" s="210"/>
      <c r="HUV116" s="212"/>
      <c r="HUW116" s="196"/>
      <c r="HUX116" s="197"/>
      <c r="HUY116" s="209"/>
      <c r="HUZ116" s="209"/>
      <c r="HVA116" s="210"/>
      <c r="HVB116" s="210"/>
      <c r="HVC116" s="211"/>
      <c r="HVD116" s="210"/>
      <c r="HVE116" s="210"/>
      <c r="HVF116" s="210"/>
      <c r="HVG116" s="210"/>
      <c r="HVH116" s="212"/>
      <c r="HVI116" s="196"/>
      <c r="HVJ116" s="197"/>
      <c r="HVK116" s="209"/>
      <c r="HVL116" s="209"/>
      <c r="HVM116" s="210"/>
      <c r="HVN116" s="210"/>
      <c r="HVO116" s="211"/>
      <c r="HVP116" s="210"/>
      <c r="HVQ116" s="210"/>
      <c r="HVR116" s="210"/>
      <c r="HVS116" s="210"/>
      <c r="HVT116" s="212"/>
      <c r="HVU116" s="196"/>
      <c r="HVV116" s="197"/>
      <c r="HVW116" s="209"/>
      <c r="HVX116" s="209"/>
      <c r="HVY116" s="210"/>
      <c r="HVZ116" s="210"/>
      <c r="HWA116" s="211"/>
      <c r="HWB116" s="210"/>
      <c r="HWC116" s="210"/>
      <c r="HWD116" s="210"/>
      <c r="HWE116" s="210"/>
      <c r="HWF116" s="212"/>
      <c r="HWG116" s="196"/>
      <c r="HWH116" s="197"/>
      <c r="HWI116" s="209"/>
      <c r="HWJ116" s="209"/>
      <c r="HWK116" s="210"/>
      <c r="HWL116" s="210"/>
      <c r="HWM116" s="211"/>
      <c r="HWN116" s="210"/>
      <c r="HWO116" s="210"/>
      <c r="HWP116" s="210"/>
      <c r="HWQ116" s="210"/>
      <c r="HWR116" s="212"/>
      <c r="HWS116" s="196"/>
      <c r="HWT116" s="197"/>
      <c r="HWU116" s="209"/>
      <c r="HWV116" s="209"/>
      <c r="HWW116" s="210"/>
      <c r="HWX116" s="210"/>
      <c r="HWY116" s="211"/>
      <c r="HWZ116" s="210"/>
      <c r="HXA116" s="210"/>
      <c r="HXB116" s="210"/>
      <c r="HXC116" s="210"/>
      <c r="HXD116" s="212"/>
      <c r="HXE116" s="196"/>
      <c r="HXF116" s="197"/>
      <c r="HXG116" s="209"/>
      <c r="HXH116" s="209"/>
      <c r="HXI116" s="210"/>
      <c r="HXJ116" s="210"/>
      <c r="HXK116" s="211"/>
      <c r="HXL116" s="210"/>
      <c r="HXM116" s="210"/>
      <c r="HXN116" s="210"/>
      <c r="HXO116" s="210"/>
      <c r="HXP116" s="212"/>
      <c r="HXQ116" s="196"/>
      <c r="HXR116" s="197"/>
      <c r="HXS116" s="209"/>
      <c r="HXT116" s="209"/>
      <c r="HXU116" s="210"/>
      <c r="HXV116" s="210"/>
      <c r="HXW116" s="211"/>
      <c r="HXX116" s="210"/>
      <c r="HXY116" s="210"/>
      <c r="HXZ116" s="210"/>
      <c r="HYA116" s="210"/>
      <c r="HYB116" s="212"/>
      <c r="HYC116" s="196"/>
      <c r="HYD116" s="197"/>
      <c r="HYE116" s="209"/>
      <c r="HYF116" s="209"/>
      <c r="HYG116" s="210"/>
      <c r="HYH116" s="210"/>
      <c r="HYI116" s="211"/>
      <c r="HYJ116" s="210"/>
      <c r="HYK116" s="210"/>
      <c r="HYL116" s="210"/>
      <c r="HYM116" s="210"/>
      <c r="HYN116" s="212"/>
      <c r="HYO116" s="196"/>
      <c r="HYP116" s="197"/>
      <c r="HYQ116" s="209"/>
      <c r="HYR116" s="209"/>
      <c r="HYS116" s="210"/>
      <c r="HYT116" s="210"/>
      <c r="HYU116" s="211"/>
      <c r="HYV116" s="210"/>
      <c r="HYW116" s="210"/>
      <c r="HYX116" s="210"/>
      <c r="HYY116" s="210"/>
      <c r="HYZ116" s="212"/>
      <c r="HZA116" s="196"/>
      <c r="HZB116" s="197"/>
      <c r="HZC116" s="209"/>
      <c r="HZD116" s="209"/>
      <c r="HZE116" s="210"/>
      <c r="HZF116" s="210"/>
      <c r="HZG116" s="211"/>
      <c r="HZH116" s="210"/>
      <c r="HZI116" s="210"/>
      <c r="HZJ116" s="210"/>
      <c r="HZK116" s="210"/>
      <c r="HZL116" s="212"/>
      <c r="HZM116" s="196"/>
      <c r="HZN116" s="197"/>
      <c r="HZO116" s="209"/>
      <c r="HZP116" s="209"/>
      <c r="HZQ116" s="210"/>
      <c r="HZR116" s="210"/>
      <c r="HZS116" s="211"/>
      <c r="HZT116" s="210"/>
      <c r="HZU116" s="210"/>
      <c r="HZV116" s="210"/>
      <c r="HZW116" s="210"/>
      <c r="HZX116" s="212"/>
      <c r="HZY116" s="196"/>
      <c r="HZZ116" s="197"/>
      <c r="IAA116" s="209"/>
      <c r="IAB116" s="209"/>
      <c r="IAC116" s="210"/>
      <c r="IAD116" s="210"/>
      <c r="IAE116" s="211"/>
      <c r="IAF116" s="210"/>
      <c r="IAG116" s="210"/>
      <c r="IAH116" s="210"/>
      <c r="IAI116" s="210"/>
      <c r="IAJ116" s="212"/>
      <c r="IAK116" s="196"/>
      <c r="IAL116" s="197"/>
      <c r="IAM116" s="209"/>
      <c r="IAN116" s="209"/>
      <c r="IAO116" s="210"/>
      <c r="IAP116" s="210"/>
      <c r="IAQ116" s="211"/>
      <c r="IAR116" s="210"/>
      <c r="IAS116" s="210"/>
      <c r="IAT116" s="210"/>
      <c r="IAU116" s="210"/>
      <c r="IAV116" s="212"/>
      <c r="IAW116" s="196"/>
      <c r="IAX116" s="197"/>
      <c r="IAY116" s="209"/>
      <c r="IAZ116" s="209"/>
      <c r="IBA116" s="210"/>
      <c r="IBB116" s="210"/>
      <c r="IBC116" s="211"/>
      <c r="IBD116" s="210"/>
      <c r="IBE116" s="210"/>
      <c r="IBF116" s="210"/>
      <c r="IBG116" s="210"/>
      <c r="IBH116" s="212"/>
      <c r="IBI116" s="196"/>
      <c r="IBJ116" s="197"/>
      <c r="IBK116" s="209"/>
      <c r="IBL116" s="209"/>
      <c r="IBM116" s="210"/>
      <c r="IBN116" s="210"/>
      <c r="IBO116" s="211"/>
      <c r="IBP116" s="210"/>
      <c r="IBQ116" s="210"/>
      <c r="IBR116" s="210"/>
      <c r="IBS116" s="210"/>
      <c r="IBT116" s="212"/>
      <c r="IBU116" s="196"/>
      <c r="IBV116" s="197"/>
      <c r="IBW116" s="209"/>
      <c r="IBX116" s="209"/>
      <c r="IBY116" s="210"/>
      <c r="IBZ116" s="210"/>
      <c r="ICA116" s="211"/>
      <c r="ICB116" s="210"/>
      <c r="ICC116" s="210"/>
      <c r="ICD116" s="210"/>
      <c r="ICE116" s="210"/>
      <c r="ICF116" s="212"/>
      <c r="ICG116" s="196"/>
      <c r="ICH116" s="197"/>
      <c r="ICI116" s="209"/>
      <c r="ICJ116" s="209"/>
      <c r="ICK116" s="210"/>
      <c r="ICL116" s="210"/>
      <c r="ICM116" s="211"/>
      <c r="ICN116" s="210"/>
      <c r="ICO116" s="210"/>
      <c r="ICP116" s="210"/>
      <c r="ICQ116" s="210"/>
      <c r="ICR116" s="212"/>
      <c r="ICS116" s="196"/>
      <c r="ICT116" s="197"/>
      <c r="ICU116" s="209"/>
      <c r="ICV116" s="209"/>
      <c r="ICW116" s="210"/>
      <c r="ICX116" s="210"/>
      <c r="ICY116" s="211"/>
      <c r="ICZ116" s="210"/>
      <c r="IDA116" s="210"/>
      <c r="IDB116" s="210"/>
      <c r="IDC116" s="210"/>
      <c r="IDD116" s="212"/>
      <c r="IDE116" s="196"/>
      <c r="IDF116" s="197"/>
      <c r="IDG116" s="209"/>
      <c r="IDH116" s="209"/>
      <c r="IDI116" s="210"/>
      <c r="IDJ116" s="210"/>
      <c r="IDK116" s="211"/>
      <c r="IDL116" s="210"/>
      <c r="IDM116" s="210"/>
      <c r="IDN116" s="210"/>
      <c r="IDO116" s="210"/>
      <c r="IDP116" s="212"/>
      <c r="IDQ116" s="196"/>
      <c r="IDR116" s="197"/>
      <c r="IDS116" s="209"/>
      <c r="IDT116" s="209"/>
      <c r="IDU116" s="210"/>
      <c r="IDV116" s="210"/>
      <c r="IDW116" s="211"/>
      <c r="IDX116" s="210"/>
      <c r="IDY116" s="210"/>
      <c r="IDZ116" s="210"/>
      <c r="IEA116" s="210"/>
      <c r="IEB116" s="212"/>
      <c r="IEC116" s="196"/>
      <c r="IED116" s="197"/>
      <c r="IEE116" s="209"/>
      <c r="IEF116" s="209"/>
      <c r="IEG116" s="210"/>
      <c r="IEH116" s="210"/>
      <c r="IEI116" s="211"/>
      <c r="IEJ116" s="210"/>
      <c r="IEK116" s="210"/>
      <c r="IEL116" s="210"/>
      <c r="IEM116" s="210"/>
      <c r="IEN116" s="212"/>
      <c r="IEO116" s="196"/>
      <c r="IEP116" s="197"/>
      <c r="IEQ116" s="209"/>
      <c r="IER116" s="209"/>
      <c r="IES116" s="210"/>
      <c r="IET116" s="210"/>
      <c r="IEU116" s="211"/>
      <c r="IEV116" s="210"/>
      <c r="IEW116" s="210"/>
      <c r="IEX116" s="210"/>
      <c r="IEY116" s="210"/>
      <c r="IEZ116" s="212"/>
      <c r="IFA116" s="196"/>
      <c r="IFB116" s="197"/>
      <c r="IFC116" s="209"/>
      <c r="IFD116" s="209"/>
      <c r="IFE116" s="210"/>
      <c r="IFF116" s="210"/>
      <c r="IFG116" s="211"/>
      <c r="IFH116" s="210"/>
      <c r="IFI116" s="210"/>
      <c r="IFJ116" s="210"/>
      <c r="IFK116" s="210"/>
      <c r="IFL116" s="212"/>
      <c r="IFM116" s="196"/>
      <c r="IFN116" s="197"/>
      <c r="IFO116" s="209"/>
      <c r="IFP116" s="209"/>
      <c r="IFQ116" s="210"/>
      <c r="IFR116" s="210"/>
      <c r="IFS116" s="211"/>
      <c r="IFT116" s="210"/>
      <c r="IFU116" s="210"/>
      <c r="IFV116" s="210"/>
      <c r="IFW116" s="210"/>
      <c r="IFX116" s="212"/>
      <c r="IFY116" s="196"/>
      <c r="IFZ116" s="197"/>
      <c r="IGA116" s="209"/>
      <c r="IGB116" s="209"/>
      <c r="IGC116" s="210"/>
      <c r="IGD116" s="210"/>
      <c r="IGE116" s="211"/>
      <c r="IGF116" s="210"/>
      <c r="IGG116" s="210"/>
      <c r="IGH116" s="210"/>
      <c r="IGI116" s="210"/>
      <c r="IGJ116" s="212"/>
      <c r="IGK116" s="196"/>
      <c r="IGL116" s="197"/>
      <c r="IGM116" s="209"/>
      <c r="IGN116" s="209"/>
      <c r="IGO116" s="210"/>
      <c r="IGP116" s="210"/>
      <c r="IGQ116" s="211"/>
      <c r="IGR116" s="210"/>
      <c r="IGS116" s="210"/>
      <c r="IGT116" s="210"/>
      <c r="IGU116" s="210"/>
      <c r="IGV116" s="212"/>
      <c r="IGW116" s="196"/>
      <c r="IGX116" s="197"/>
      <c r="IGY116" s="209"/>
      <c r="IGZ116" s="209"/>
      <c r="IHA116" s="210"/>
      <c r="IHB116" s="210"/>
      <c r="IHC116" s="211"/>
      <c r="IHD116" s="210"/>
      <c r="IHE116" s="210"/>
      <c r="IHF116" s="210"/>
      <c r="IHG116" s="210"/>
      <c r="IHH116" s="212"/>
      <c r="IHI116" s="196"/>
      <c r="IHJ116" s="197"/>
      <c r="IHK116" s="209"/>
      <c r="IHL116" s="209"/>
      <c r="IHM116" s="210"/>
      <c r="IHN116" s="210"/>
      <c r="IHO116" s="211"/>
      <c r="IHP116" s="210"/>
      <c r="IHQ116" s="210"/>
      <c r="IHR116" s="210"/>
      <c r="IHS116" s="210"/>
      <c r="IHT116" s="212"/>
      <c r="IHU116" s="196"/>
      <c r="IHV116" s="197"/>
      <c r="IHW116" s="209"/>
      <c r="IHX116" s="209"/>
      <c r="IHY116" s="210"/>
      <c r="IHZ116" s="210"/>
      <c r="IIA116" s="211"/>
      <c r="IIB116" s="210"/>
      <c r="IIC116" s="210"/>
      <c r="IID116" s="210"/>
      <c r="IIE116" s="210"/>
      <c r="IIF116" s="212"/>
      <c r="IIG116" s="196"/>
      <c r="IIH116" s="197"/>
      <c r="III116" s="209"/>
      <c r="IIJ116" s="209"/>
      <c r="IIK116" s="210"/>
      <c r="IIL116" s="210"/>
      <c r="IIM116" s="211"/>
      <c r="IIN116" s="210"/>
      <c r="IIO116" s="210"/>
      <c r="IIP116" s="210"/>
      <c r="IIQ116" s="210"/>
      <c r="IIR116" s="212"/>
      <c r="IIS116" s="196"/>
      <c r="IIT116" s="197"/>
      <c r="IIU116" s="209"/>
      <c r="IIV116" s="209"/>
      <c r="IIW116" s="210"/>
      <c r="IIX116" s="210"/>
      <c r="IIY116" s="211"/>
      <c r="IIZ116" s="210"/>
      <c r="IJA116" s="210"/>
      <c r="IJB116" s="210"/>
      <c r="IJC116" s="210"/>
      <c r="IJD116" s="212"/>
      <c r="IJE116" s="196"/>
      <c r="IJF116" s="197"/>
      <c r="IJG116" s="209"/>
      <c r="IJH116" s="209"/>
      <c r="IJI116" s="210"/>
      <c r="IJJ116" s="210"/>
      <c r="IJK116" s="211"/>
      <c r="IJL116" s="210"/>
      <c r="IJM116" s="210"/>
      <c r="IJN116" s="210"/>
      <c r="IJO116" s="210"/>
      <c r="IJP116" s="212"/>
      <c r="IJQ116" s="196"/>
      <c r="IJR116" s="197"/>
      <c r="IJS116" s="209"/>
      <c r="IJT116" s="209"/>
      <c r="IJU116" s="210"/>
      <c r="IJV116" s="210"/>
      <c r="IJW116" s="211"/>
      <c r="IJX116" s="210"/>
      <c r="IJY116" s="210"/>
      <c r="IJZ116" s="210"/>
      <c r="IKA116" s="210"/>
      <c r="IKB116" s="212"/>
      <c r="IKC116" s="196"/>
      <c r="IKD116" s="197"/>
      <c r="IKE116" s="209"/>
      <c r="IKF116" s="209"/>
      <c r="IKG116" s="210"/>
      <c r="IKH116" s="210"/>
      <c r="IKI116" s="211"/>
      <c r="IKJ116" s="210"/>
      <c r="IKK116" s="210"/>
      <c r="IKL116" s="210"/>
      <c r="IKM116" s="210"/>
      <c r="IKN116" s="212"/>
      <c r="IKO116" s="196"/>
      <c r="IKP116" s="197"/>
      <c r="IKQ116" s="209"/>
      <c r="IKR116" s="209"/>
      <c r="IKS116" s="210"/>
      <c r="IKT116" s="210"/>
      <c r="IKU116" s="211"/>
      <c r="IKV116" s="210"/>
      <c r="IKW116" s="210"/>
      <c r="IKX116" s="210"/>
      <c r="IKY116" s="210"/>
      <c r="IKZ116" s="212"/>
      <c r="ILA116" s="196"/>
      <c r="ILB116" s="197"/>
      <c r="ILC116" s="209"/>
      <c r="ILD116" s="209"/>
      <c r="ILE116" s="210"/>
      <c r="ILF116" s="210"/>
      <c r="ILG116" s="211"/>
      <c r="ILH116" s="210"/>
      <c r="ILI116" s="210"/>
      <c r="ILJ116" s="210"/>
      <c r="ILK116" s="210"/>
      <c r="ILL116" s="212"/>
      <c r="ILM116" s="196"/>
      <c r="ILN116" s="197"/>
      <c r="ILO116" s="209"/>
      <c r="ILP116" s="209"/>
      <c r="ILQ116" s="210"/>
      <c r="ILR116" s="210"/>
      <c r="ILS116" s="211"/>
      <c r="ILT116" s="210"/>
      <c r="ILU116" s="210"/>
      <c r="ILV116" s="210"/>
      <c r="ILW116" s="210"/>
      <c r="ILX116" s="212"/>
      <c r="ILY116" s="196"/>
      <c r="ILZ116" s="197"/>
      <c r="IMA116" s="209"/>
      <c r="IMB116" s="209"/>
      <c r="IMC116" s="210"/>
      <c r="IMD116" s="210"/>
      <c r="IME116" s="211"/>
      <c r="IMF116" s="210"/>
      <c r="IMG116" s="210"/>
      <c r="IMH116" s="210"/>
      <c r="IMI116" s="210"/>
      <c r="IMJ116" s="212"/>
      <c r="IMK116" s="196"/>
      <c r="IML116" s="197"/>
      <c r="IMM116" s="209"/>
      <c r="IMN116" s="209"/>
      <c r="IMO116" s="210"/>
      <c r="IMP116" s="210"/>
      <c r="IMQ116" s="211"/>
      <c r="IMR116" s="210"/>
      <c r="IMS116" s="210"/>
      <c r="IMT116" s="210"/>
      <c r="IMU116" s="210"/>
      <c r="IMV116" s="212"/>
      <c r="IMW116" s="196"/>
      <c r="IMX116" s="197"/>
      <c r="IMY116" s="209"/>
      <c r="IMZ116" s="209"/>
      <c r="INA116" s="210"/>
      <c r="INB116" s="210"/>
      <c r="INC116" s="211"/>
      <c r="IND116" s="210"/>
      <c r="INE116" s="210"/>
      <c r="INF116" s="210"/>
      <c r="ING116" s="210"/>
      <c r="INH116" s="212"/>
      <c r="INI116" s="196"/>
      <c r="INJ116" s="197"/>
      <c r="INK116" s="209"/>
      <c r="INL116" s="209"/>
      <c r="INM116" s="210"/>
      <c r="INN116" s="210"/>
      <c r="INO116" s="211"/>
      <c r="INP116" s="210"/>
      <c r="INQ116" s="210"/>
      <c r="INR116" s="210"/>
      <c r="INS116" s="210"/>
      <c r="INT116" s="212"/>
      <c r="INU116" s="196"/>
      <c r="INV116" s="197"/>
      <c r="INW116" s="209"/>
      <c r="INX116" s="209"/>
      <c r="INY116" s="210"/>
      <c r="INZ116" s="210"/>
      <c r="IOA116" s="211"/>
      <c r="IOB116" s="210"/>
      <c r="IOC116" s="210"/>
      <c r="IOD116" s="210"/>
      <c r="IOE116" s="210"/>
      <c r="IOF116" s="212"/>
      <c r="IOG116" s="196"/>
      <c r="IOH116" s="197"/>
      <c r="IOI116" s="209"/>
      <c r="IOJ116" s="209"/>
      <c r="IOK116" s="210"/>
      <c r="IOL116" s="210"/>
      <c r="IOM116" s="211"/>
      <c r="ION116" s="210"/>
      <c r="IOO116" s="210"/>
      <c r="IOP116" s="210"/>
      <c r="IOQ116" s="210"/>
      <c r="IOR116" s="212"/>
      <c r="IOS116" s="196"/>
      <c r="IOT116" s="197"/>
      <c r="IOU116" s="209"/>
      <c r="IOV116" s="209"/>
      <c r="IOW116" s="210"/>
      <c r="IOX116" s="210"/>
      <c r="IOY116" s="211"/>
      <c r="IOZ116" s="210"/>
      <c r="IPA116" s="210"/>
      <c r="IPB116" s="210"/>
      <c r="IPC116" s="210"/>
      <c r="IPD116" s="212"/>
      <c r="IPE116" s="196"/>
      <c r="IPF116" s="197"/>
      <c r="IPG116" s="209"/>
      <c r="IPH116" s="209"/>
      <c r="IPI116" s="210"/>
      <c r="IPJ116" s="210"/>
      <c r="IPK116" s="211"/>
      <c r="IPL116" s="210"/>
      <c r="IPM116" s="210"/>
      <c r="IPN116" s="210"/>
      <c r="IPO116" s="210"/>
      <c r="IPP116" s="212"/>
      <c r="IPQ116" s="196"/>
      <c r="IPR116" s="197"/>
      <c r="IPS116" s="209"/>
      <c r="IPT116" s="209"/>
      <c r="IPU116" s="210"/>
      <c r="IPV116" s="210"/>
      <c r="IPW116" s="211"/>
      <c r="IPX116" s="210"/>
      <c r="IPY116" s="210"/>
      <c r="IPZ116" s="210"/>
      <c r="IQA116" s="210"/>
      <c r="IQB116" s="212"/>
      <c r="IQC116" s="196"/>
      <c r="IQD116" s="197"/>
      <c r="IQE116" s="209"/>
      <c r="IQF116" s="209"/>
      <c r="IQG116" s="210"/>
      <c r="IQH116" s="210"/>
      <c r="IQI116" s="211"/>
      <c r="IQJ116" s="210"/>
      <c r="IQK116" s="210"/>
      <c r="IQL116" s="210"/>
      <c r="IQM116" s="210"/>
      <c r="IQN116" s="212"/>
      <c r="IQO116" s="196"/>
      <c r="IQP116" s="197"/>
      <c r="IQQ116" s="209"/>
      <c r="IQR116" s="209"/>
      <c r="IQS116" s="210"/>
      <c r="IQT116" s="210"/>
      <c r="IQU116" s="211"/>
      <c r="IQV116" s="210"/>
      <c r="IQW116" s="210"/>
      <c r="IQX116" s="210"/>
      <c r="IQY116" s="210"/>
      <c r="IQZ116" s="212"/>
      <c r="IRA116" s="196"/>
      <c r="IRB116" s="197"/>
      <c r="IRC116" s="209"/>
      <c r="IRD116" s="209"/>
      <c r="IRE116" s="210"/>
      <c r="IRF116" s="210"/>
      <c r="IRG116" s="211"/>
      <c r="IRH116" s="210"/>
      <c r="IRI116" s="210"/>
      <c r="IRJ116" s="210"/>
      <c r="IRK116" s="210"/>
      <c r="IRL116" s="212"/>
      <c r="IRM116" s="196"/>
      <c r="IRN116" s="197"/>
      <c r="IRO116" s="209"/>
      <c r="IRP116" s="209"/>
      <c r="IRQ116" s="210"/>
      <c r="IRR116" s="210"/>
      <c r="IRS116" s="211"/>
      <c r="IRT116" s="210"/>
      <c r="IRU116" s="210"/>
      <c r="IRV116" s="210"/>
      <c r="IRW116" s="210"/>
      <c r="IRX116" s="212"/>
      <c r="IRY116" s="196"/>
      <c r="IRZ116" s="197"/>
      <c r="ISA116" s="209"/>
      <c r="ISB116" s="209"/>
      <c r="ISC116" s="210"/>
      <c r="ISD116" s="210"/>
      <c r="ISE116" s="211"/>
      <c r="ISF116" s="210"/>
      <c r="ISG116" s="210"/>
      <c r="ISH116" s="210"/>
      <c r="ISI116" s="210"/>
      <c r="ISJ116" s="212"/>
      <c r="ISK116" s="196"/>
      <c r="ISL116" s="197"/>
      <c r="ISM116" s="209"/>
      <c r="ISN116" s="209"/>
      <c r="ISO116" s="210"/>
      <c r="ISP116" s="210"/>
      <c r="ISQ116" s="211"/>
      <c r="ISR116" s="210"/>
      <c r="ISS116" s="210"/>
      <c r="IST116" s="210"/>
      <c r="ISU116" s="210"/>
      <c r="ISV116" s="212"/>
      <c r="ISW116" s="196"/>
      <c r="ISX116" s="197"/>
      <c r="ISY116" s="209"/>
      <c r="ISZ116" s="209"/>
      <c r="ITA116" s="210"/>
      <c r="ITB116" s="210"/>
      <c r="ITC116" s="211"/>
      <c r="ITD116" s="210"/>
      <c r="ITE116" s="210"/>
      <c r="ITF116" s="210"/>
      <c r="ITG116" s="210"/>
      <c r="ITH116" s="212"/>
      <c r="ITI116" s="196"/>
      <c r="ITJ116" s="197"/>
      <c r="ITK116" s="209"/>
      <c r="ITL116" s="209"/>
      <c r="ITM116" s="210"/>
      <c r="ITN116" s="210"/>
      <c r="ITO116" s="211"/>
      <c r="ITP116" s="210"/>
      <c r="ITQ116" s="210"/>
      <c r="ITR116" s="210"/>
      <c r="ITS116" s="210"/>
      <c r="ITT116" s="212"/>
      <c r="ITU116" s="196"/>
      <c r="ITV116" s="197"/>
      <c r="ITW116" s="209"/>
      <c r="ITX116" s="209"/>
      <c r="ITY116" s="210"/>
      <c r="ITZ116" s="210"/>
      <c r="IUA116" s="211"/>
      <c r="IUB116" s="210"/>
      <c r="IUC116" s="210"/>
      <c r="IUD116" s="210"/>
      <c r="IUE116" s="210"/>
      <c r="IUF116" s="212"/>
      <c r="IUG116" s="196"/>
      <c r="IUH116" s="197"/>
      <c r="IUI116" s="209"/>
      <c r="IUJ116" s="209"/>
      <c r="IUK116" s="210"/>
      <c r="IUL116" s="210"/>
      <c r="IUM116" s="211"/>
      <c r="IUN116" s="210"/>
      <c r="IUO116" s="210"/>
      <c r="IUP116" s="210"/>
      <c r="IUQ116" s="210"/>
      <c r="IUR116" s="212"/>
      <c r="IUS116" s="196"/>
      <c r="IUT116" s="197"/>
      <c r="IUU116" s="209"/>
      <c r="IUV116" s="209"/>
      <c r="IUW116" s="210"/>
      <c r="IUX116" s="210"/>
      <c r="IUY116" s="211"/>
      <c r="IUZ116" s="210"/>
      <c r="IVA116" s="210"/>
      <c r="IVB116" s="210"/>
      <c r="IVC116" s="210"/>
      <c r="IVD116" s="212"/>
      <c r="IVE116" s="196"/>
      <c r="IVF116" s="197"/>
      <c r="IVG116" s="209"/>
      <c r="IVH116" s="209"/>
      <c r="IVI116" s="210"/>
      <c r="IVJ116" s="210"/>
      <c r="IVK116" s="211"/>
      <c r="IVL116" s="210"/>
      <c r="IVM116" s="210"/>
      <c r="IVN116" s="210"/>
      <c r="IVO116" s="210"/>
      <c r="IVP116" s="212"/>
      <c r="IVQ116" s="196"/>
      <c r="IVR116" s="197"/>
      <c r="IVS116" s="209"/>
      <c r="IVT116" s="209"/>
      <c r="IVU116" s="210"/>
      <c r="IVV116" s="210"/>
      <c r="IVW116" s="211"/>
      <c r="IVX116" s="210"/>
      <c r="IVY116" s="210"/>
      <c r="IVZ116" s="210"/>
      <c r="IWA116" s="210"/>
      <c r="IWB116" s="212"/>
      <c r="IWC116" s="196"/>
      <c r="IWD116" s="197"/>
      <c r="IWE116" s="209"/>
      <c r="IWF116" s="209"/>
      <c r="IWG116" s="210"/>
      <c r="IWH116" s="210"/>
      <c r="IWI116" s="211"/>
      <c r="IWJ116" s="210"/>
      <c r="IWK116" s="210"/>
      <c r="IWL116" s="210"/>
      <c r="IWM116" s="210"/>
      <c r="IWN116" s="212"/>
      <c r="IWO116" s="196"/>
      <c r="IWP116" s="197"/>
      <c r="IWQ116" s="209"/>
      <c r="IWR116" s="209"/>
      <c r="IWS116" s="210"/>
      <c r="IWT116" s="210"/>
      <c r="IWU116" s="211"/>
      <c r="IWV116" s="210"/>
      <c r="IWW116" s="210"/>
      <c r="IWX116" s="210"/>
      <c r="IWY116" s="210"/>
      <c r="IWZ116" s="212"/>
      <c r="IXA116" s="196"/>
      <c r="IXB116" s="197"/>
      <c r="IXC116" s="209"/>
      <c r="IXD116" s="209"/>
      <c r="IXE116" s="210"/>
      <c r="IXF116" s="210"/>
      <c r="IXG116" s="211"/>
      <c r="IXH116" s="210"/>
      <c r="IXI116" s="210"/>
      <c r="IXJ116" s="210"/>
      <c r="IXK116" s="210"/>
      <c r="IXL116" s="212"/>
      <c r="IXM116" s="196"/>
      <c r="IXN116" s="197"/>
      <c r="IXO116" s="209"/>
      <c r="IXP116" s="209"/>
      <c r="IXQ116" s="210"/>
      <c r="IXR116" s="210"/>
      <c r="IXS116" s="211"/>
      <c r="IXT116" s="210"/>
      <c r="IXU116" s="210"/>
      <c r="IXV116" s="210"/>
      <c r="IXW116" s="210"/>
      <c r="IXX116" s="212"/>
      <c r="IXY116" s="196"/>
      <c r="IXZ116" s="197"/>
      <c r="IYA116" s="209"/>
      <c r="IYB116" s="209"/>
      <c r="IYC116" s="210"/>
      <c r="IYD116" s="210"/>
      <c r="IYE116" s="211"/>
      <c r="IYF116" s="210"/>
      <c r="IYG116" s="210"/>
      <c r="IYH116" s="210"/>
      <c r="IYI116" s="210"/>
      <c r="IYJ116" s="212"/>
      <c r="IYK116" s="196"/>
      <c r="IYL116" s="197"/>
      <c r="IYM116" s="209"/>
      <c r="IYN116" s="209"/>
      <c r="IYO116" s="210"/>
      <c r="IYP116" s="210"/>
      <c r="IYQ116" s="211"/>
      <c r="IYR116" s="210"/>
      <c r="IYS116" s="210"/>
      <c r="IYT116" s="210"/>
      <c r="IYU116" s="210"/>
      <c r="IYV116" s="212"/>
      <c r="IYW116" s="196"/>
      <c r="IYX116" s="197"/>
      <c r="IYY116" s="209"/>
      <c r="IYZ116" s="209"/>
      <c r="IZA116" s="210"/>
      <c r="IZB116" s="210"/>
      <c r="IZC116" s="211"/>
      <c r="IZD116" s="210"/>
      <c r="IZE116" s="210"/>
      <c r="IZF116" s="210"/>
      <c r="IZG116" s="210"/>
      <c r="IZH116" s="212"/>
      <c r="IZI116" s="196"/>
      <c r="IZJ116" s="197"/>
      <c r="IZK116" s="209"/>
      <c r="IZL116" s="209"/>
      <c r="IZM116" s="210"/>
      <c r="IZN116" s="210"/>
      <c r="IZO116" s="211"/>
      <c r="IZP116" s="210"/>
      <c r="IZQ116" s="210"/>
      <c r="IZR116" s="210"/>
      <c r="IZS116" s="210"/>
      <c r="IZT116" s="212"/>
      <c r="IZU116" s="196"/>
      <c r="IZV116" s="197"/>
      <c r="IZW116" s="209"/>
      <c r="IZX116" s="209"/>
      <c r="IZY116" s="210"/>
      <c r="IZZ116" s="210"/>
      <c r="JAA116" s="211"/>
      <c r="JAB116" s="210"/>
      <c r="JAC116" s="210"/>
      <c r="JAD116" s="210"/>
      <c r="JAE116" s="210"/>
      <c r="JAF116" s="212"/>
      <c r="JAG116" s="196"/>
      <c r="JAH116" s="197"/>
      <c r="JAI116" s="209"/>
      <c r="JAJ116" s="209"/>
      <c r="JAK116" s="210"/>
      <c r="JAL116" s="210"/>
      <c r="JAM116" s="211"/>
      <c r="JAN116" s="210"/>
      <c r="JAO116" s="210"/>
      <c r="JAP116" s="210"/>
      <c r="JAQ116" s="210"/>
      <c r="JAR116" s="212"/>
      <c r="JAS116" s="196"/>
      <c r="JAT116" s="197"/>
      <c r="JAU116" s="209"/>
      <c r="JAV116" s="209"/>
      <c r="JAW116" s="210"/>
      <c r="JAX116" s="210"/>
      <c r="JAY116" s="211"/>
      <c r="JAZ116" s="210"/>
      <c r="JBA116" s="210"/>
      <c r="JBB116" s="210"/>
      <c r="JBC116" s="210"/>
      <c r="JBD116" s="212"/>
      <c r="JBE116" s="196"/>
      <c r="JBF116" s="197"/>
      <c r="JBG116" s="209"/>
      <c r="JBH116" s="209"/>
      <c r="JBI116" s="210"/>
      <c r="JBJ116" s="210"/>
      <c r="JBK116" s="211"/>
      <c r="JBL116" s="210"/>
      <c r="JBM116" s="210"/>
      <c r="JBN116" s="210"/>
      <c r="JBO116" s="210"/>
      <c r="JBP116" s="212"/>
      <c r="JBQ116" s="196"/>
      <c r="JBR116" s="197"/>
      <c r="JBS116" s="209"/>
      <c r="JBT116" s="209"/>
      <c r="JBU116" s="210"/>
      <c r="JBV116" s="210"/>
      <c r="JBW116" s="211"/>
      <c r="JBX116" s="210"/>
      <c r="JBY116" s="210"/>
      <c r="JBZ116" s="210"/>
      <c r="JCA116" s="210"/>
      <c r="JCB116" s="212"/>
      <c r="JCC116" s="196"/>
      <c r="JCD116" s="197"/>
      <c r="JCE116" s="209"/>
      <c r="JCF116" s="209"/>
      <c r="JCG116" s="210"/>
      <c r="JCH116" s="210"/>
      <c r="JCI116" s="211"/>
      <c r="JCJ116" s="210"/>
      <c r="JCK116" s="210"/>
      <c r="JCL116" s="210"/>
      <c r="JCM116" s="210"/>
      <c r="JCN116" s="212"/>
      <c r="JCO116" s="196"/>
      <c r="JCP116" s="197"/>
      <c r="JCQ116" s="209"/>
      <c r="JCR116" s="209"/>
      <c r="JCS116" s="210"/>
      <c r="JCT116" s="210"/>
      <c r="JCU116" s="211"/>
      <c r="JCV116" s="210"/>
      <c r="JCW116" s="210"/>
      <c r="JCX116" s="210"/>
      <c r="JCY116" s="210"/>
      <c r="JCZ116" s="212"/>
      <c r="JDA116" s="196"/>
      <c r="JDB116" s="197"/>
      <c r="JDC116" s="209"/>
      <c r="JDD116" s="209"/>
      <c r="JDE116" s="210"/>
      <c r="JDF116" s="210"/>
      <c r="JDG116" s="211"/>
      <c r="JDH116" s="210"/>
      <c r="JDI116" s="210"/>
      <c r="JDJ116" s="210"/>
      <c r="JDK116" s="210"/>
      <c r="JDL116" s="212"/>
      <c r="JDM116" s="196"/>
      <c r="JDN116" s="197"/>
      <c r="JDO116" s="209"/>
      <c r="JDP116" s="209"/>
      <c r="JDQ116" s="210"/>
      <c r="JDR116" s="210"/>
      <c r="JDS116" s="211"/>
      <c r="JDT116" s="210"/>
      <c r="JDU116" s="210"/>
      <c r="JDV116" s="210"/>
      <c r="JDW116" s="210"/>
      <c r="JDX116" s="212"/>
      <c r="JDY116" s="196"/>
      <c r="JDZ116" s="197"/>
      <c r="JEA116" s="209"/>
      <c r="JEB116" s="209"/>
      <c r="JEC116" s="210"/>
      <c r="JED116" s="210"/>
      <c r="JEE116" s="211"/>
      <c r="JEF116" s="210"/>
      <c r="JEG116" s="210"/>
      <c r="JEH116" s="210"/>
      <c r="JEI116" s="210"/>
      <c r="JEJ116" s="212"/>
      <c r="JEK116" s="196"/>
      <c r="JEL116" s="197"/>
      <c r="JEM116" s="209"/>
      <c r="JEN116" s="209"/>
      <c r="JEO116" s="210"/>
      <c r="JEP116" s="210"/>
      <c r="JEQ116" s="211"/>
      <c r="JER116" s="210"/>
      <c r="JES116" s="210"/>
      <c r="JET116" s="210"/>
      <c r="JEU116" s="210"/>
      <c r="JEV116" s="212"/>
      <c r="JEW116" s="196"/>
      <c r="JEX116" s="197"/>
      <c r="JEY116" s="209"/>
      <c r="JEZ116" s="209"/>
      <c r="JFA116" s="210"/>
      <c r="JFB116" s="210"/>
      <c r="JFC116" s="211"/>
      <c r="JFD116" s="210"/>
      <c r="JFE116" s="210"/>
      <c r="JFF116" s="210"/>
      <c r="JFG116" s="210"/>
      <c r="JFH116" s="212"/>
      <c r="JFI116" s="196"/>
      <c r="JFJ116" s="197"/>
      <c r="JFK116" s="209"/>
      <c r="JFL116" s="209"/>
      <c r="JFM116" s="210"/>
      <c r="JFN116" s="210"/>
      <c r="JFO116" s="211"/>
      <c r="JFP116" s="210"/>
      <c r="JFQ116" s="210"/>
      <c r="JFR116" s="210"/>
      <c r="JFS116" s="210"/>
      <c r="JFT116" s="212"/>
      <c r="JFU116" s="196"/>
      <c r="JFV116" s="197"/>
      <c r="JFW116" s="209"/>
      <c r="JFX116" s="209"/>
      <c r="JFY116" s="210"/>
      <c r="JFZ116" s="210"/>
      <c r="JGA116" s="211"/>
      <c r="JGB116" s="210"/>
      <c r="JGC116" s="210"/>
      <c r="JGD116" s="210"/>
      <c r="JGE116" s="210"/>
      <c r="JGF116" s="212"/>
      <c r="JGG116" s="196"/>
      <c r="JGH116" s="197"/>
      <c r="JGI116" s="209"/>
      <c r="JGJ116" s="209"/>
      <c r="JGK116" s="210"/>
      <c r="JGL116" s="210"/>
      <c r="JGM116" s="211"/>
      <c r="JGN116" s="210"/>
      <c r="JGO116" s="210"/>
      <c r="JGP116" s="210"/>
      <c r="JGQ116" s="210"/>
      <c r="JGR116" s="212"/>
      <c r="JGS116" s="196"/>
      <c r="JGT116" s="197"/>
      <c r="JGU116" s="209"/>
      <c r="JGV116" s="209"/>
      <c r="JGW116" s="210"/>
      <c r="JGX116" s="210"/>
      <c r="JGY116" s="211"/>
      <c r="JGZ116" s="210"/>
      <c r="JHA116" s="210"/>
      <c r="JHB116" s="210"/>
      <c r="JHC116" s="210"/>
      <c r="JHD116" s="212"/>
      <c r="JHE116" s="196"/>
      <c r="JHF116" s="197"/>
      <c r="JHG116" s="209"/>
      <c r="JHH116" s="209"/>
      <c r="JHI116" s="210"/>
      <c r="JHJ116" s="210"/>
      <c r="JHK116" s="211"/>
      <c r="JHL116" s="210"/>
      <c r="JHM116" s="210"/>
      <c r="JHN116" s="210"/>
      <c r="JHO116" s="210"/>
      <c r="JHP116" s="212"/>
      <c r="JHQ116" s="196"/>
      <c r="JHR116" s="197"/>
      <c r="JHS116" s="209"/>
      <c r="JHT116" s="209"/>
      <c r="JHU116" s="210"/>
      <c r="JHV116" s="210"/>
      <c r="JHW116" s="211"/>
      <c r="JHX116" s="210"/>
      <c r="JHY116" s="210"/>
      <c r="JHZ116" s="210"/>
      <c r="JIA116" s="210"/>
      <c r="JIB116" s="212"/>
      <c r="JIC116" s="196"/>
      <c r="JID116" s="197"/>
      <c r="JIE116" s="209"/>
      <c r="JIF116" s="209"/>
      <c r="JIG116" s="210"/>
      <c r="JIH116" s="210"/>
      <c r="JII116" s="211"/>
      <c r="JIJ116" s="210"/>
      <c r="JIK116" s="210"/>
      <c r="JIL116" s="210"/>
      <c r="JIM116" s="210"/>
      <c r="JIN116" s="212"/>
      <c r="JIO116" s="196"/>
      <c r="JIP116" s="197"/>
      <c r="JIQ116" s="209"/>
      <c r="JIR116" s="209"/>
      <c r="JIS116" s="210"/>
      <c r="JIT116" s="210"/>
      <c r="JIU116" s="211"/>
      <c r="JIV116" s="210"/>
      <c r="JIW116" s="210"/>
      <c r="JIX116" s="210"/>
      <c r="JIY116" s="210"/>
      <c r="JIZ116" s="212"/>
      <c r="JJA116" s="196"/>
      <c r="JJB116" s="197"/>
      <c r="JJC116" s="209"/>
      <c r="JJD116" s="209"/>
      <c r="JJE116" s="210"/>
      <c r="JJF116" s="210"/>
      <c r="JJG116" s="211"/>
      <c r="JJH116" s="210"/>
      <c r="JJI116" s="210"/>
      <c r="JJJ116" s="210"/>
      <c r="JJK116" s="210"/>
      <c r="JJL116" s="212"/>
      <c r="JJM116" s="196"/>
      <c r="JJN116" s="197"/>
      <c r="JJO116" s="209"/>
      <c r="JJP116" s="209"/>
      <c r="JJQ116" s="210"/>
      <c r="JJR116" s="210"/>
      <c r="JJS116" s="211"/>
      <c r="JJT116" s="210"/>
      <c r="JJU116" s="210"/>
      <c r="JJV116" s="210"/>
      <c r="JJW116" s="210"/>
      <c r="JJX116" s="212"/>
      <c r="JJY116" s="196"/>
      <c r="JJZ116" s="197"/>
      <c r="JKA116" s="209"/>
      <c r="JKB116" s="209"/>
      <c r="JKC116" s="210"/>
      <c r="JKD116" s="210"/>
      <c r="JKE116" s="211"/>
      <c r="JKF116" s="210"/>
      <c r="JKG116" s="210"/>
      <c r="JKH116" s="210"/>
      <c r="JKI116" s="210"/>
      <c r="JKJ116" s="212"/>
      <c r="JKK116" s="196"/>
      <c r="JKL116" s="197"/>
      <c r="JKM116" s="209"/>
      <c r="JKN116" s="209"/>
      <c r="JKO116" s="210"/>
      <c r="JKP116" s="210"/>
      <c r="JKQ116" s="211"/>
      <c r="JKR116" s="210"/>
      <c r="JKS116" s="210"/>
      <c r="JKT116" s="210"/>
      <c r="JKU116" s="210"/>
      <c r="JKV116" s="212"/>
      <c r="JKW116" s="196"/>
      <c r="JKX116" s="197"/>
      <c r="JKY116" s="209"/>
      <c r="JKZ116" s="209"/>
      <c r="JLA116" s="210"/>
      <c r="JLB116" s="210"/>
      <c r="JLC116" s="211"/>
      <c r="JLD116" s="210"/>
      <c r="JLE116" s="210"/>
      <c r="JLF116" s="210"/>
      <c r="JLG116" s="210"/>
      <c r="JLH116" s="212"/>
      <c r="JLI116" s="196"/>
      <c r="JLJ116" s="197"/>
      <c r="JLK116" s="209"/>
      <c r="JLL116" s="209"/>
      <c r="JLM116" s="210"/>
      <c r="JLN116" s="210"/>
      <c r="JLO116" s="211"/>
      <c r="JLP116" s="210"/>
      <c r="JLQ116" s="210"/>
      <c r="JLR116" s="210"/>
      <c r="JLS116" s="210"/>
      <c r="JLT116" s="212"/>
      <c r="JLU116" s="196"/>
      <c r="JLV116" s="197"/>
      <c r="JLW116" s="209"/>
      <c r="JLX116" s="209"/>
      <c r="JLY116" s="210"/>
      <c r="JLZ116" s="210"/>
      <c r="JMA116" s="211"/>
      <c r="JMB116" s="210"/>
      <c r="JMC116" s="210"/>
      <c r="JMD116" s="210"/>
      <c r="JME116" s="210"/>
      <c r="JMF116" s="212"/>
      <c r="JMG116" s="196"/>
      <c r="JMH116" s="197"/>
      <c r="JMI116" s="209"/>
      <c r="JMJ116" s="209"/>
      <c r="JMK116" s="210"/>
      <c r="JML116" s="210"/>
      <c r="JMM116" s="211"/>
      <c r="JMN116" s="210"/>
      <c r="JMO116" s="210"/>
      <c r="JMP116" s="210"/>
      <c r="JMQ116" s="210"/>
      <c r="JMR116" s="212"/>
      <c r="JMS116" s="196"/>
      <c r="JMT116" s="197"/>
      <c r="JMU116" s="209"/>
      <c r="JMV116" s="209"/>
      <c r="JMW116" s="210"/>
      <c r="JMX116" s="210"/>
      <c r="JMY116" s="211"/>
      <c r="JMZ116" s="210"/>
      <c r="JNA116" s="210"/>
      <c r="JNB116" s="210"/>
      <c r="JNC116" s="210"/>
      <c r="JND116" s="212"/>
      <c r="JNE116" s="196"/>
      <c r="JNF116" s="197"/>
      <c r="JNG116" s="209"/>
      <c r="JNH116" s="209"/>
      <c r="JNI116" s="210"/>
      <c r="JNJ116" s="210"/>
      <c r="JNK116" s="211"/>
      <c r="JNL116" s="210"/>
      <c r="JNM116" s="210"/>
      <c r="JNN116" s="210"/>
      <c r="JNO116" s="210"/>
      <c r="JNP116" s="212"/>
      <c r="JNQ116" s="196"/>
      <c r="JNR116" s="197"/>
      <c r="JNS116" s="209"/>
      <c r="JNT116" s="209"/>
      <c r="JNU116" s="210"/>
      <c r="JNV116" s="210"/>
      <c r="JNW116" s="211"/>
      <c r="JNX116" s="210"/>
      <c r="JNY116" s="210"/>
      <c r="JNZ116" s="210"/>
      <c r="JOA116" s="210"/>
      <c r="JOB116" s="212"/>
      <c r="JOC116" s="196"/>
      <c r="JOD116" s="197"/>
      <c r="JOE116" s="209"/>
      <c r="JOF116" s="209"/>
      <c r="JOG116" s="210"/>
      <c r="JOH116" s="210"/>
      <c r="JOI116" s="211"/>
      <c r="JOJ116" s="210"/>
      <c r="JOK116" s="210"/>
      <c r="JOL116" s="210"/>
      <c r="JOM116" s="210"/>
      <c r="JON116" s="212"/>
      <c r="JOO116" s="196"/>
      <c r="JOP116" s="197"/>
      <c r="JOQ116" s="209"/>
      <c r="JOR116" s="209"/>
      <c r="JOS116" s="210"/>
      <c r="JOT116" s="210"/>
      <c r="JOU116" s="211"/>
      <c r="JOV116" s="210"/>
      <c r="JOW116" s="210"/>
      <c r="JOX116" s="210"/>
      <c r="JOY116" s="210"/>
      <c r="JOZ116" s="212"/>
      <c r="JPA116" s="196"/>
      <c r="JPB116" s="197"/>
      <c r="JPC116" s="209"/>
      <c r="JPD116" s="209"/>
      <c r="JPE116" s="210"/>
      <c r="JPF116" s="210"/>
      <c r="JPG116" s="211"/>
      <c r="JPH116" s="210"/>
      <c r="JPI116" s="210"/>
      <c r="JPJ116" s="210"/>
      <c r="JPK116" s="210"/>
      <c r="JPL116" s="212"/>
      <c r="JPM116" s="196"/>
      <c r="JPN116" s="197"/>
      <c r="JPO116" s="209"/>
      <c r="JPP116" s="209"/>
      <c r="JPQ116" s="210"/>
      <c r="JPR116" s="210"/>
      <c r="JPS116" s="211"/>
      <c r="JPT116" s="210"/>
      <c r="JPU116" s="210"/>
      <c r="JPV116" s="210"/>
      <c r="JPW116" s="210"/>
      <c r="JPX116" s="212"/>
      <c r="JPY116" s="196"/>
      <c r="JPZ116" s="197"/>
      <c r="JQA116" s="209"/>
      <c r="JQB116" s="209"/>
      <c r="JQC116" s="210"/>
      <c r="JQD116" s="210"/>
      <c r="JQE116" s="211"/>
      <c r="JQF116" s="210"/>
      <c r="JQG116" s="210"/>
      <c r="JQH116" s="210"/>
      <c r="JQI116" s="210"/>
      <c r="JQJ116" s="212"/>
      <c r="JQK116" s="196"/>
      <c r="JQL116" s="197"/>
      <c r="JQM116" s="209"/>
      <c r="JQN116" s="209"/>
      <c r="JQO116" s="210"/>
      <c r="JQP116" s="210"/>
      <c r="JQQ116" s="211"/>
      <c r="JQR116" s="210"/>
      <c r="JQS116" s="210"/>
      <c r="JQT116" s="210"/>
      <c r="JQU116" s="210"/>
      <c r="JQV116" s="212"/>
      <c r="JQW116" s="196"/>
      <c r="JQX116" s="197"/>
      <c r="JQY116" s="209"/>
      <c r="JQZ116" s="209"/>
      <c r="JRA116" s="210"/>
      <c r="JRB116" s="210"/>
      <c r="JRC116" s="211"/>
      <c r="JRD116" s="210"/>
      <c r="JRE116" s="210"/>
      <c r="JRF116" s="210"/>
      <c r="JRG116" s="210"/>
      <c r="JRH116" s="212"/>
      <c r="JRI116" s="196"/>
      <c r="JRJ116" s="197"/>
      <c r="JRK116" s="209"/>
      <c r="JRL116" s="209"/>
      <c r="JRM116" s="210"/>
      <c r="JRN116" s="210"/>
      <c r="JRO116" s="211"/>
      <c r="JRP116" s="210"/>
      <c r="JRQ116" s="210"/>
      <c r="JRR116" s="210"/>
      <c r="JRS116" s="210"/>
      <c r="JRT116" s="212"/>
      <c r="JRU116" s="196"/>
      <c r="JRV116" s="197"/>
      <c r="JRW116" s="209"/>
      <c r="JRX116" s="209"/>
      <c r="JRY116" s="210"/>
      <c r="JRZ116" s="210"/>
      <c r="JSA116" s="211"/>
      <c r="JSB116" s="210"/>
      <c r="JSC116" s="210"/>
      <c r="JSD116" s="210"/>
      <c r="JSE116" s="210"/>
      <c r="JSF116" s="212"/>
      <c r="JSG116" s="196"/>
      <c r="JSH116" s="197"/>
      <c r="JSI116" s="209"/>
      <c r="JSJ116" s="209"/>
      <c r="JSK116" s="210"/>
      <c r="JSL116" s="210"/>
      <c r="JSM116" s="211"/>
      <c r="JSN116" s="210"/>
      <c r="JSO116" s="210"/>
      <c r="JSP116" s="210"/>
      <c r="JSQ116" s="210"/>
      <c r="JSR116" s="212"/>
      <c r="JSS116" s="196"/>
      <c r="JST116" s="197"/>
      <c r="JSU116" s="209"/>
      <c r="JSV116" s="209"/>
      <c r="JSW116" s="210"/>
      <c r="JSX116" s="210"/>
      <c r="JSY116" s="211"/>
      <c r="JSZ116" s="210"/>
      <c r="JTA116" s="210"/>
      <c r="JTB116" s="210"/>
      <c r="JTC116" s="210"/>
      <c r="JTD116" s="212"/>
      <c r="JTE116" s="196"/>
      <c r="JTF116" s="197"/>
      <c r="JTG116" s="209"/>
      <c r="JTH116" s="209"/>
      <c r="JTI116" s="210"/>
      <c r="JTJ116" s="210"/>
      <c r="JTK116" s="211"/>
      <c r="JTL116" s="210"/>
      <c r="JTM116" s="210"/>
      <c r="JTN116" s="210"/>
      <c r="JTO116" s="210"/>
      <c r="JTP116" s="212"/>
      <c r="JTQ116" s="196"/>
      <c r="JTR116" s="197"/>
      <c r="JTS116" s="209"/>
      <c r="JTT116" s="209"/>
      <c r="JTU116" s="210"/>
      <c r="JTV116" s="210"/>
      <c r="JTW116" s="211"/>
      <c r="JTX116" s="210"/>
      <c r="JTY116" s="210"/>
      <c r="JTZ116" s="210"/>
      <c r="JUA116" s="210"/>
      <c r="JUB116" s="212"/>
      <c r="JUC116" s="196"/>
      <c r="JUD116" s="197"/>
      <c r="JUE116" s="209"/>
      <c r="JUF116" s="209"/>
      <c r="JUG116" s="210"/>
      <c r="JUH116" s="210"/>
      <c r="JUI116" s="211"/>
      <c r="JUJ116" s="210"/>
      <c r="JUK116" s="210"/>
      <c r="JUL116" s="210"/>
      <c r="JUM116" s="210"/>
      <c r="JUN116" s="212"/>
      <c r="JUO116" s="196"/>
      <c r="JUP116" s="197"/>
      <c r="JUQ116" s="209"/>
      <c r="JUR116" s="209"/>
      <c r="JUS116" s="210"/>
      <c r="JUT116" s="210"/>
      <c r="JUU116" s="211"/>
      <c r="JUV116" s="210"/>
      <c r="JUW116" s="210"/>
      <c r="JUX116" s="210"/>
      <c r="JUY116" s="210"/>
      <c r="JUZ116" s="212"/>
      <c r="JVA116" s="196"/>
      <c r="JVB116" s="197"/>
      <c r="JVC116" s="209"/>
      <c r="JVD116" s="209"/>
      <c r="JVE116" s="210"/>
      <c r="JVF116" s="210"/>
      <c r="JVG116" s="211"/>
      <c r="JVH116" s="210"/>
      <c r="JVI116" s="210"/>
      <c r="JVJ116" s="210"/>
      <c r="JVK116" s="210"/>
      <c r="JVL116" s="212"/>
      <c r="JVM116" s="196"/>
      <c r="JVN116" s="197"/>
      <c r="JVO116" s="209"/>
      <c r="JVP116" s="209"/>
      <c r="JVQ116" s="210"/>
      <c r="JVR116" s="210"/>
      <c r="JVS116" s="211"/>
      <c r="JVT116" s="210"/>
      <c r="JVU116" s="210"/>
      <c r="JVV116" s="210"/>
      <c r="JVW116" s="210"/>
      <c r="JVX116" s="212"/>
      <c r="JVY116" s="196"/>
      <c r="JVZ116" s="197"/>
      <c r="JWA116" s="209"/>
      <c r="JWB116" s="209"/>
      <c r="JWC116" s="210"/>
      <c r="JWD116" s="210"/>
      <c r="JWE116" s="211"/>
      <c r="JWF116" s="210"/>
      <c r="JWG116" s="210"/>
      <c r="JWH116" s="210"/>
      <c r="JWI116" s="210"/>
      <c r="JWJ116" s="212"/>
      <c r="JWK116" s="196"/>
      <c r="JWL116" s="197"/>
      <c r="JWM116" s="209"/>
      <c r="JWN116" s="209"/>
      <c r="JWO116" s="210"/>
      <c r="JWP116" s="210"/>
      <c r="JWQ116" s="211"/>
      <c r="JWR116" s="210"/>
      <c r="JWS116" s="210"/>
      <c r="JWT116" s="210"/>
      <c r="JWU116" s="210"/>
      <c r="JWV116" s="212"/>
      <c r="JWW116" s="196"/>
      <c r="JWX116" s="197"/>
      <c r="JWY116" s="209"/>
      <c r="JWZ116" s="209"/>
      <c r="JXA116" s="210"/>
      <c r="JXB116" s="210"/>
      <c r="JXC116" s="211"/>
      <c r="JXD116" s="210"/>
      <c r="JXE116" s="210"/>
      <c r="JXF116" s="210"/>
      <c r="JXG116" s="210"/>
      <c r="JXH116" s="212"/>
      <c r="JXI116" s="196"/>
      <c r="JXJ116" s="197"/>
      <c r="JXK116" s="209"/>
      <c r="JXL116" s="209"/>
      <c r="JXM116" s="210"/>
      <c r="JXN116" s="210"/>
      <c r="JXO116" s="211"/>
      <c r="JXP116" s="210"/>
      <c r="JXQ116" s="210"/>
      <c r="JXR116" s="210"/>
      <c r="JXS116" s="210"/>
      <c r="JXT116" s="212"/>
      <c r="JXU116" s="196"/>
      <c r="JXV116" s="197"/>
      <c r="JXW116" s="209"/>
      <c r="JXX116" s="209"/>
      <c r="JXY116" s="210"/>
      <c r="JXZ116" s="210"/>
      <c r="JYA116" s="211"/>
      <c r="JYB116" s="210"/>
      <c r="JYC116" s="210"/>
      <c r="JYD116" s="210"/>
      <c r="JYE116" s="210"/>
      <c r="JYF116" s="212"/>
      <c r="JYG116" s="196"/>
      <c r="JYH116" s="197"/>
      <c r="JYI116" s="209"/>
      <c r="JYJ116" s="209"/>
      <c r="JYK116" s="210"/>
      <c r="JYL116" s="210"/>
      <c r="JYM116" s="211"/>
      <c r="JYN116" s="210"/>
      <c r="JYO116" s="210"/>
      <c r="JYP116" s="210"/>
      <c r="JYQ116" s="210"/>
      <c r="JYR116" s="212"/>
      <c r="JYS116" s="196"/>
      <c r="JYT116" s="197"/>
      <c r="JYU116" s="209"/>
      <c r="JYV116" s="209"/>
      <c r="JYW116" s="210"/>
      <c r="JYX116" s="210"/>
      <c r="JYY116" s="211"/>
      <c r="JYZ116" s="210"/>
      <c r="JZA116" s="210"/>
      <c r="JZB116" s="210"/>
      <c r="JZC116" s="210"/>
      <c r="JZD116" s="212"/>
      <c r="JZE116" s="196"/>
      <c r="JZF116" s="197"/>
      <c r="JZG116" s="209"/>
      <c r="JZH116" s="209"/>
      <c r="JZI116" s="210"/>
      <c r="JZJ116" s="210"/>
      <c r="JZK116" s="211"/>
      <c r="JZL116" s="210"/>
      <c r="JZM116" s="210"/>
      <c r="JZN116" s="210"/>
      <c r="JZO116" s="210"/>
      <c r="JZP116" s="212"/>
      <c r="JZQ116" s="196"/>
      <c r="JZR116" s="197"/>
      <c r="JZS116" s="209"/>
      <c r="JZT116" s="209"/>
      <c r="JZU116" s="210"/>
      <c r="JZV116" s="210"/>
      <c r="JZW116" s="211"/>
      <c r="JZX116" s="210"/>
      <c r="JZY116" s="210"/>
      <c r="JZZ116" s="210"/>
      <c r="KAA116" s="210"/>
      <c r="KAB116" s="212"/>
      <c r="KAC116" s="196"/>
      <c r="KAD116" s="197"/>
      <c r="KAE116" s="209"/>
      <c r="KAF116" s="209"/>
      <c r="KAG116" s="210"/>
      <c r="KAH116" s="210"/>
      <c r="KAI116" s="211"/>
      <c r="KAJ116" s="210"/>
      <c r="KAK116" s="210"/>
      <c r="KAL116" s="210"/>
      <c r="KAM116" s="210"/>
      <c r="KAN116" s="212"/>
      <c r="KAO116" s="196"/>
      <c r="KAP116" s="197"/>
      <c r="KAQ116" s="209"/>
      <c r="KAR116" s="209"/>
      <c r="KAS116" s="210"/>
      <c r="KAT116" s="210"/>
      <c r="KAU116" s="211"/>
      <c r="KAV116" s="210"/>
      <c r="KAW116" s="210"/>
      <c r="KAX116" s="210"/>
      <c r="KAY116" s="210"/>
      <c r="KAZ116" s="212"/>
      <c r="KBA116" s="196"/>
      <c r="KBB116" s="197"/>
      <c r="KBC116" s="209"/>
      <c r="KBD116" s="209"/>
      <c r="KBE116" s="210"/>
      <c r="KBF116" s="210"/>
      <c r="KBG116" s="211"/>
      <c r="KBH116" s="210"/>
      <c r="KBI116" s="210"/>
      <c r="KBJ116" s="210"/>
      <c r="KBK116" s="210"/>
      <c r="KBL116" s="212"/>
      <c r="KBM116" s="196"/>
      <c r="KBN116" s="197"/>
      <c r="KBO116" s="209"/>
      <c r="KBP116" s="209"/>
      <c r="KBQ116" s="210"/>
      <c r="KBR116" s="210"/>
      <c r="KBS116" s="211"/>
      <c r="KBT116" s="210"/>
      <c r="KBU116" s="210"/>
      <c r="KBV116" s="210"/>
      <c r="KBW116" s="210"/>
      <c r="KBX116" s="212"/>
      <c r="KBY116" s="196"/>
      <c r="KBZ116" s="197"/>
      <c r="KCA116" s="209"/>
      <c r="KCB116" s="209"/>
      <c r="KCC116" s="210"/>
      <c r="KCD116" s="210"/>
      <c r="KCE116" s="211"/>
      <c r="KCF116" s="210"/>
      <c r="KCG116" s="210"/>
      <c r="KCH116" s="210"/>
      <c r="KCI116" s="210"/>
      <c r="KCJ116" s="212"/>
      <c r="KCK116" s="196"/>
      <c r="KCL116" s="197"/>
      <c r="KCM116" s="209"/>
      <c r="KCN116" s="209"/>
      <c r="KCO116" s="210"/>
      <c r="KCP116" s="210"/>
      <c r="KCQ116" s="211"/>
      <c r="KCR116" s="210"/>
      <c r="KCS116" s="210"/>
      <c r="KCT116" s="210"/>
      <c r="KCU116" s="210"/>
      <c r="KCV116" s="212"/>
      <c r="KCW116" s="196"/>
      <c r="KCX116" s="197"/>
      <c r="KCY116" s="209"/>
      <c r="KCZ116" s="209"/>
      <c r="KDA116" s="210"/>
      <c r="KDB116" s="210"/>
      <c r="KDC116" s="211"/>
      <c r="KDD116" s="210"/>
      <c r="KDE116" s="210"/>
      <c r="KDF116" s="210"/>
      <c r="KDG116" s="210"/>
      <c r="KDH116" s="212"/>
      <c r="KDI116" s="196"/>
      <c r="KDJ116" s="197"/>
      <c r="KDK116" s="209"/>
      <c r="KDL116" s="209"/>
      <c r="KDM116" s="210"/>
      <c r="KDN116" s="210"/>
      <c r="KDO116" s="211"/>
      <c r="KDP116" s="210"/>
      <c r="KDQ116" s="210"/>
      <c r="KDR116" s="210"/>
      <c r="KDS116" s="210"/>
      <c r="KDT116" s="212"/>
      <c r="KDU116" s="196"/>
      <c r="KDV116" s="197"/>
      <c r="KDW116" s="209"/>
      <c r="KDX116" s="209"/>
      <c r="KDY116" s="210"/>
      <c r="KDZ116" s="210"/>
      <c r="KEA116" s="211"/>
      <c r="KEB116" s="210"/>
      <c r="KEC116" s="210"/>
      <c r="KED116" s="210"/>
      <c r="KEE116" s="210"/>
      <c r="KEF116" s="212"/>
      <c r="KEG116" s="196"/>
      <c r="KEH116" s="197"/>
      <c r="KEI116" s="209"/>
      <c r="KEJ116" s="209"/>
      <c r="KEK116" s="210"/>
      <c r="KEL116" s="210"/>
      <c r="KEM116" s="211"/>
      <c r="KEN116" s="210"/>
      <c r="KEO116" s="210"/>
      <c r="KEP116" s="210"/>
      <c r="KEQ116" s="210"/>
      <c r="KER116" s="212"/>
      <c r="KES116" s="196"/>
      <c r="KET116" s="197"/>
      <c r="KEU116" s="209"/>
      <c r="KEV116" s="209"/>
      <c r="KEW116" s="210"/>
      <c r="KEX116" s="210"/>
      <c r="KEY116" s="211"/>
      <c r="KEZ116" s="210"/>
      <c r="KFA116" s="210"/>
      <c r="KFB116" s="210"/>
      <c r="KFC116" s="210"/>
      <c r="KFD116" s="212"/>
      <c r="KFE116" s="196"/>
      <c r="KFF116" s="197"/>
      <c r="KFG116" s="209"/>
      <c r="KFH116" s="209"/>
      <c r="KFI116" s="210"/>
      <c r="KFJ116" s="210"/>
      <c r="KFK116" s="211"/>
      <c r="KFL116" s="210"/>
      <c r="KFM116" s="210"/>
      <c r="KFN116" s="210"/>
      <c r="KFO116" s="210"/>
      <c r="KFP116" s="212"/>
      <c r="KFQ116" s="196"/>
      <c r="KFR116" s="197"/>
      <c r="KFS116" s="209"/>
      <c r="KFT116" s="209"/>
      <c r="KFU116" s="210"/>
      <c r="KFV116" s="210"/>
      <c r="KFW116" s="211"/>
      <c r="KFX116" s="210"/>
      <c r="KFY116" s="210"/>
      <c r="KFZ116" s="210"/>
      <c r="KGA116" s="210"/>
      <c r="KGB116" s="212"/>
      <c r="KGC116" s="196"/>
      <c r="KGD116" s="197"/>
      <c r="KGE116" s="209"/>
      <c r="KGF116" s="209"/>
      <c r="KGG116" s="210"/>
      <c r="KGH116" s="210"/>
      <c r="KGI116" s="211"/>
      <c r="KGJ116" s="210"/>
      <c r="KGK116" s="210"/>
      <c r="KGL116" s="210"/>
      <c r="KGM116" s="210"/>
      <c r="KGN116" s="212"/>
      <c r="KGO116" s="196"/>
      <c r="KGP116" s="197"/>
      <c r="KGQ116" s="209"/>
      <c r="KGR116" s="209"/>
      <c r="KGS116" s="210"/>
      <c r="KGT116" s="210"/>
      <c r="KGU116" s="211"/>
      <c r="KGV116" s="210"/>
      <c r="KGW116" s="210"/>
      <c r="KGX116" s="210"/>
      <c r="KGY116" s="210"/>
      <c r="KGZ116" s="212"/>
      <c r="KHA116" s="196"/>
      <c r="KHB116" s="197"/>
      <c r="KHC116" s="209"/>
      <c r="KHD116" s="209"/>
      <c r="KHE116" s="210"/>
      <c r="KHF116" s="210"/>
      <c r="KHG116" s="211"/>
      <c r="KHH116" s="210"/>
      <c r="KHI116" s="210"/>
      <c r="KHJ116" s="210"/>
      <c r="KHK116" s="210"/>
      <c r="KHL116" s="212"/>
      <c r="KHM116" s="196"/>
      <c r="KHN116" s="197"/>
      <c r="KHO116" s="209"/>
      <c r="KHP116" s="209"/>
      <c r="KHQ116" s="210"/>
      <c r="KHR116" s="210"/>
      <c r="KHS116" s="211"/>
      <c r="KHT116" s="210"/>
      <c r="KHU116" s="210"/>
      <c r="KHV116" s="210"/>
      <c r="KHW116" s="210"/>
      <c r="KHX116" s="212"/>
      <c r="KHY116" s="196"/>
      <c r="KHZ116" s="197"/>
      <c r="KIA116" s="209"/>
      <c r="KIB116" s="209"/>
      <c r="KIC116" s="210"/>
      <c r="KID116" s="210"/>
      <c r="KIE116" s="211"/>
      <c r="KIF116" s="210"/>
      <c r="KIG116" s="210"/>
      <c r="KIH116" s="210"/>
      <c r="KII116" s="210"/>
      <c r="KIJ116" s="212"/>
      <c r="KIK116" s="196"/>
      <c r="KIL116" s="197"/>
      <c r="KIM116" s="209"/>
      <c r="KIN116" s="209"/>
      <c r="KIO116" s="210"/>
      <c r="KIP116" s="210"/>
      <c r="KIQ116" s="211"/>
      <c r="KIR116" s="210"/>
      <c r="KIS116" s="210"/>
      <c r="KIT116" s="210"/>
      <c r="KIU116" s="210"/>
      <c r="KIV116" s="212"/>
      <c r="KIW116" s="196"/>
      <c r="KIX116" s="197"/>
      <c r="KIY116" s="209"/>
      <c r="KIZ116" s="209"/>
      <c r="KJA116" s="210"/>
      <c r="KJB116" s="210"/>
      <c r="KJC116" s="211"/>
      <c r="KJD116" s="210"/>
      <c r="KJE116" s="210"/>
      <c r="KJF116" s="210"/>
      <c r="KJG116" s="210"/>
      <c r="KJH116" s="212"/>
      <c r="KJI116" s="196"/>
      <c r="KJJ116" s="197"/>
      <c r="KJK116" s="209"/>
      <c r="KJL116" s="209"/>
      <c r="KJM116" s="210"/>
      <c r="KJN116" s="210"/>
      <c r="KJO116" s="211"/>
      <c r="KJP116" s="210"/>
      <c r="KJQ116" s="210"/>
      <c r="KJR116" s="210"/>
      <c r="KJS116" s="210"/>
      <c r="KJT116" s="212"/>
      <c r="KJU116" s="196"/>
      <c r="KJV116" s="197"/>
      <c r="KJW116" s="209"/>
      <c r="KJX116" s="209"/>
      <c r="KJY116" s="210"/>
      <c r="KJZ116" s="210"/>
      <c r="KKA116" s="211"/>
      <c r="KKB116" s="210"/>
      <c r="KKC116" s="210"/>
      <c r="KKD116" s="210"/>
      <c r="KKE116" s="210"/>
      <c r="KKF116" s="212"/>
      <c r="KKG116" s="196"/>
      <c r="KKH116" s="197"/>
      <c r="KKI116" s="209"/>
      <c r="KKJ116" s="209"/>
      <c r="KKK116" s="210"/>
      <c r="KKL116" s="210"/>
      <c r="KKM116" s="211"/>
      <c r="KKN116" s="210"/>
      <c r="KKO116" s="210"/>
      <c r="KKP116" s="210"/>
      <c r="KKQ116" s="210"/>
      <c r="KKR116" s="212"/>
      <c r="KKS116" s="196"/>
      <c r="KKT116" s="197"/>
      <c r="KKU116" s="209"/>
      <c r="KKV116" s="209"/>
      <c r="KKW116" s="210"/>
      <c r="KKX116" s="210"/>
      <c r="KKY116" s="211"/>
      <c r="KKZ116" s="210"/>
      <c r="KLA116" s="210"/>
      <c r="KLB116" s="210"/>
      <c r="KLC116" s="210"/>
      <c r="KLD116" s="212"/>
      <c r="KLE116" s="196"/>
      <c r="KLF116" s="197"/>
      <c r="KLG116" s="209"/>
      <c r="KLH116" s="209"/>
      <c r="KLI116" s="210"/>
      <c r="KLJ116" s="210"/>
      <c r="KLK116" s="211"/>
      <c r="KLL116" s="210"/>
      <c r="KLM116" s="210"/>
      <c r="KLN116" s="210"/>
      <c r="KLO116" s="210"/>
      <c r="KLP116" s="212"/>
      <c r="KLQ116" s="196"/>
      <c r="KLR116" s="197"/>
      <c r="KLS116" s="209"/>
      <c r="KLT116" s="209"/>
      <c r="KLU116" s="210"/>
      <c r="KLV116" s="210"/>
      <c r="KLW116" s="211"/>
      <c r="KLX116" s="210"/>
      <c r="KLY116" s="210"/>
      <c r="KLZ116" s="210"/>
      <c r="KMA116" s="210"/>
      <c r="KMB116" s="212"/>
      <c r="KMC116" s="196"/>
      <c r="KMD116" s="197"/>
      <c r="KME116" s="209"/>
      <c r="KMF116" s="209"/>
      <c r="KMG116" s="210"/>
      <c r="KMH116" s="210"/>
      <c r="KMI116" s="211"/>
      <c r="KMJ116" s="210"/>
      <c r="KMK116" s="210"/>
      <c r="KML116" s="210"/>
      <c r="KMM116" s="210"/>
      <c r="KMN116" s="212"/>
      <c r="KMO116" s="196"/>
      <c r="KMP116" s="197"/>
      <c r="KMQ116" s="209"/>
      <c r="KMR116" s="209"/>
      <c r="KMS116" s="210"/>
      <c r="KMT116" s="210"/>
      <c r="KMU116" s="211"/>
      <c r="KMV116" s="210"/>
      <c r="KMW116" s="210"/>
      <c r="KMX116" s="210"/>
      <c r="KMY116" s="210"/>
      <c r="KMZ116" s="212"/>
      <c r="KNA116" s="196"/>
      <c r="KNB116" s="197"/>
      <c r="KNC116" s="209"/>
      <c r="KND116" s="209"/>
      <c r="KNE116" s="210"/>
      <c r="KNF116" s="210"/>
      <c r="KNG116" s="211"/>
      <c r="KNH116" s="210"/>
      <c r="KNI116" s="210"/>
      <c r="KNJ116" s="210"/>
      <c r="KNK116" s="210"/>
      <c r="KNL116" s="212"/>
      <c r="KNM116" s="196"/>
      <c r="KNN116" s="197"/>
      <c r="KNO116" s="209"/>
      <c r="KNP116" s="209"/>
      <c r="KNQ116" s="210"/>
      <c r="KNR116" s="210"/>
      <c r="KNS116" s="211"/>
      <c r="KNT116" s="210"/>
      <c r="KNU116" s="210"/>
      <c r="KNV116" s="210"/>
      <c r="KNW116" s="210"/>
      <c r="KNX116" s="212"/>
      <c r="KNY116" s="196"/>
      <c r="KNZ116" s="197"/>
      <c r="KOA116" s="209"/>
      <c r="KOB116" s="209"/>
      <c r="KOC116" s="210"/>
      <c r="KOD116" s="210"/>
      <c r="KOE116" s="211"/>
      <c r="KOF116" s="210"/>
      <c r="KOG116" s="210"/>
      <c r="KOH116" s="210"/>
      <c r="KOI116" s="210"/>
      <c r="KOJ116" s="212"/>
      <c r="KOK116" s="196"/>
      <c r="KOL116" s="197"/>
      <c r="KOM116" s="209"/>
      <c r="KON116" s="209"/>
      <c r="KOO116" s="210"/>
      <c r="KOP116" s="210"/>
      <c r="KOQ116" s="211"/>
      <c r="KOR116" s="210"/>
      <c r="KOS116" s="210"/>
      <c r="KOT116" s="210"/>
      <c r="KOU116" s="210"/>
      <c r="KOV116" s="212"/>
      <c r="KOW116" s="196"/>
      <c r="KOX116" s="197"/>
      <c r="KOY116" s="209"/>
      <c r="KOZ116" s="209"/>
      <c r="KPA116" s="210"/>
      <c r="KPB116" s="210"/>
      <c r="KPC116" s="211"/>
      <c r="KPD116" s="210"/>
      <c r="KPE116" s="210"/>
      <c r="KPF116" s="210"/>
      <c r="KPG116" s="210"/>
      <c r="KPH116" s="212"/>
      <c r="KPI116" s="196"/>
      <c r="KPJ116" s="197"/>
      <c r="KPK116" s="209"/>
      <c r="KPL116" s="209"/>
      <c r="KPM116" s="210"/>
      <c r="KPN116" s="210"/>
      <c r="KPO116" s="211"/>
      <c r="KPP116" s="210"/>
      <c r="KPQ116" s="210"/>
      <c r="KPR116" s="210"/>
      <c r="KPS116" s="210"/>
      <c r="KPT116" s="212"/>
      <c r="KPU116" s="196"/>
      <c r="KPV116" s="197"/>
      <c r="KPW116" s="209"/>
      <c r="KPX116" s="209"/>
      <c r="KPY116" s="210"/>
      <c r="KPZ116" s="210"/>
      <c r="KQA116" s="211"/>
      <c r="KQB116" s="210"/>
      <c r="KQC116" s="210"/>
      <c r="KQD116" s="210"/>
      <c r="KQE116" s="210"/>
      <c r="KQF116" s="212"/>
      <c r="KQG116" s="196"/>
      <c r="KQH116" s="197"/>
      <c r="KQI116" s="209"/>
      <c r="KQJ116" s="209"/>
      <c r="KQK116" s="210"/>
      <c r="KQL116" s="210"/>
      <c r="KQM116" s="211"/>
      <c r="KQN116" s="210"/>
      <c r="KQO116" s="210"/>
      <c r="KQP116" s="210"/>
      <c r="KQQ116" s="210"/>
      <c r="KQR116" s="212"/>
      <c r="KQS116" s="196"/>
      <c r="KQT116" s="197"/>
      <c r="KQU116" s="209"/>
      <c r="KQV116" s="209"/>
      <c r="KQW116" s="210"/>
      <c r="KQX116" s="210"/>
      <c r="KQY116" s="211"/>
      <c r="KQZ116" s="210"/>
      <c r="KRA116" s="210"/>
      <c r="KRB116" s="210"/>
      <c r="KRC116" s="210"/>
      <c r="KRD116" s="212"/>
      <c r="KRE116" s="196"/>
      <c r="KRF116" s="197"/>
      <c r="KRG116" s="209"/>
      <c r="KRH116" s="209"/>
      <c r="KRI116" s="210"/>
      <c r="KRJ116" s="210"/>
      <c r="KRK116" s="211"/>
      <c r="KRL116" s="210"/>
      <c r="KRM116" s="210"/>
      <c r="KRN116" s="210"/>
      <c r="KRO116" s="210"/>
      <c r="KRP116" s="212"/>
      <c r="KRQ116" s="196"/>
      <c r="KRR116" s="197"/>
      <c r="KRS116" s="209"/>
      <c r="KRT116" s="209"/>
      <c r="KRU116" s="210"/>
      <c r="KRV116" s="210"/>
      <c r="KRW116" s="211"/>
      <c r="KRX116" s="210"/>
      <c r="KRY116" s="210"/>
      <c r="KRZ116" s="210"/>
      <c r="KSA116" s="210"/>
      <c r="KSB116" s="212"/>
      <c r="KSC116" s="196"/>
      <c r="KSD116" s="197"/>
      <c r="KSE116" s="209"/>
      <c r="KSF116" s="209"/>
      <c r="KSG116" s="210"/>
      <c r="KSH116" s="210"/>
      <c r="KSI116" s="211"/>
      <c r="KSJ116" s="210"/>
      <c r="KSK116" s="210"/>
      <c r="KSL116" s="210"/>
      <c r="KSM116" s="210"/>
      <c r="KSN116" s="212"/>
      <c r="KSO116" s="196"/>
      <c r="KSP116" s="197"/>
      <c r="KSQ116" s="209"/>
      <c r="KSR116" s="209"/>
      <c r="KSS116" s="210"/>
      <c r="KST116" s="210"/>
      <c r="KSU116" s="211"/>
      <c r="KSV116" s="210"/>
      <c r="KSW116" s="210"/>
      <c r="KSX116" s="210"/>
      <c r="KSY116" s="210"/>
      <c r="KSZ116" s="212"/>
      <c r="KTA116" s="196"/>
      <c r="KTB116" s="197"/>
      <c r="KTC116" s="209"/>
      <c r="KTD116" s="209"/>
      <c r="KTE116" s="210"/>
      <c r="KTF116" s="210"/>
      <c r="KTG116" s="211"/>
      <c r="KTH116" s="210"/>
      <c r="KTI116" s="210"/>
      <c r="KTJ116" s="210"/>
      <c r="KTK116" s="210"/>
      <c r="KTL116" s="212"/>
      <c r="KTM116" s="196"/>
      <c r="KTN116" s="197"/>
      <c r="KTO116" s="209"/>
      <c r="KTP116" s="209"/>
      <c r="KTQ116" s="210"/>
      <c r="KTR116" s="210"/>
      <c r="KTS116" s="211"/>
      <c r="KTT116" s="210"/>
      <c r="KTU116" s="210"/>
      <c r="KTV116" s="210"/>
      <c r="KTW116" s="210"/>
      <c r="KTX116" s="212"/>
      <c r="KTY116" s="196"/>
      <c r="KTZ116" s="197"/>
      <c r="KUA116" s="209"/>
      <c r="KUB116" s="209"/>
      <c r="KUC116" s="210"/>
      <c r="KUD116" s="210"/>
      <c r="KUE116" s="211"/>
      <c r="KUF116" s="210"/>
      <c r="KUG116" s="210"/>
      <c r="KUH116" s="210"/>
      <c r="KUI116" s="210"/>
      <c r="KUJ116" s="212"/>
      <c r="KUK116" s="196"/>
      <c r="KUL116" s="197"/>
      <c r="KUM116" s="209"/>
      <c r="KUN116" s="209"/>
      <c r="KUO116" s="210"/>
      <c r="KUP116" s="210"/>
      <c r="KUQ116" s="211"/>
      <c r="KUR116" s="210"/>
      <c r="KUS116" s="210"/>
      <c r="KUT116" s="210"/>
      <c r="KUU116" s="210"/>
      <c r="KUV116" s="212"/>
      <c r="KUW116" s="196"/>
      <c r="KUX116" s="197"/>
      <c r="KUY116" s="209"/>
      <c r="KUZ116" s="209"/>
      <c r="KVA116" s="210"/>
      <c r="KVB116" s="210"/>
      <c r="KVC116" s="211"/>
      <c r="KVD116" s="210"/>
      <c r="KVE116" s="210"/>
      <c r="KVF116" s="210"/>
      <c r="KVG116" s="210"/>
      <c r="KVH116" s="212"/>
      <c r="KVI116" s="196"/>
      <c r="KVJ116" s="197"/>
      <c r="KVK116" s="209"/>
      <c r="KVL116" s="209"/>
      <c r="KVM116" s="210"/>
      <c r="KVN116" s="210"/>
      <c r="KVO116" s="211"/>
      <c r="KVP116" s="210"/>
      <c r="KVQ116" s="210"/>
      <c r="KVR116" s="210"/>
      <c r="KVS116" s="210"/>
      <c r="KVT116" s="212"/>
      <c r="KVU116" s="196"/>
      <c r="KVV116" s="197"/>
      <c r="KVW116" s="209"/>
      <c r="KVX116" s="209"/>
      <c r="KVY116" s="210"/>
      <c r="KVZ116" s="210"/>
      <c r="KWA116" s="211"/>
      <c r="KWB116" s="210"/>
      <c r="KWC116" s="210"/>
      <c r="KWD116" s="210"/>
      <c r="KWE116" s="210"/>
      <c r="KWF116" s="212"/>
      <c r="KWG116" s="196"/>
      <c r="KWH116" s="197"/>
      <c r="KWI116" s="209"/>
      <c r="KWJ116" s="209"/>
      <c r="KWK116" s="210"/>
      <c r="KWL116" s="210"/>
      <c r="KWM116" s="211"/>
      <c r="KWN116" s="210"/>
      <c r="KWO116" s="210"/>
      <c r="KWP116" s="210"/>
      <c r="KWQ116" s="210"/>
      <c r="KWR116" s="212"/>
      <c r="KWS116" s="196"/>
      <c r="KWT116" s="197"/>
      <c r="KWU116" s="209"/>
      <c r="KWV116" s="209"/>
      <c r="KWW116" s="210"/>
      <c r="KWX116" s="210"/>
      <c r="KWY116" s="211"/>
      <c r="KWZ116" s="210"/>
      <c r="KXA116" s="210"/>
      <c r="KXB116" s="210"/>
      <c r="KXC116" s="210"/>
      <c r="KXD116" s="212"/>
      <c r="KXE116" s="196"/>
      <c r="KXF116" s="197"/>
      <c r="KXG116" s="209"/>
      <c r="KXH116" s="209"/>
      <c r="KXI116" s="210"/>
      <c r="KXJ116" s="210"/>
      <c r="KXK116" s="211"/>
      <c r="KXL116" s="210"/>
      <c r="KXM116" s="210"/>
      <c r="KXN116" s="210"/>
      <c r="KXO116" s="210"/>
      <c r="KXP116" s="212"/>
      <c r="KXQ116" s="196"/>
      <c r="KXR116" s="197"/>
      <c r="KXS116" s="209"/>
      <c r="KXT116" s="209"/>
      <c r="KXU116" s="210"/>
      <c r="KXV116" s="210"/>
      <c r="KXW116" s="211"/>
      <c r="KXX116" s="210"/>
      <c r="KXY116" s="210"/>
      <c r="KXZ116" s="210"/>
      <c r="KYA116" s="210"/>
      <c r="KYB116" s="212"/>
      <c r="KYC116" s="196"/>
      <c r="KYD116" s="197"/>
      <c r="KYE116" s="209"/>
      <c r="KYF116" s="209"/>
      <c r="KYG116" s="210"/>
      <c r="KYH116" s="210"/>
      <c r="KYI116" s="211"/>
      <c r="KYJ116" s="210"/>
      <c r="KYK116" s="210"/>
      <c r="KYL116" s="210"/>
      <c r="KYM116" s="210"/>
      <c r="KYN116" s="212"/>
      <c r="KYO116" s="196"/>
      <c r="KYP116" s="197"/>
      <c r="KYQ116" s="209"/>
      <c r="KYR116" s="209"/>
      <c r="KYS116" s="210"/>
      <c r="KYT116" s="210"/>
      <c r="KYU116" s="211"/>
      <c r="KYV116" s="210"/>
      <c r="KYW116" s="210"/>
      <c r="KYX116" s="210"/>
      <c r="KYY116" s="210"/>
      <c r="KYZ116" s="212"/>
      <c r="KZA116" s="196"/>
      <c r="KZB116" s="197"/>
      <c r="KZC116" s="209"/>
      <c r="KZD116" s="209"/>
      <c r="KZE116" s="210"/>
      <c r="KZF116" s="210"/>
      <c r="KZG116" s="211"/>
      <c r="KZH116" s="210"/>
      <c r="KZI116" s="210"/>
      <c r="KZJ116" s="210"/>
      <c r="KZK116" s="210"/>
      <c r="KZL116" s="212"/>
      <c r="KZM116" s="196"/>
      <c r="KZN116" s="197"/>
      <c r="KZO116" s="209"/>
      <c r="KZP116" s="209"/>
      <c r="KZQ116" s="210"/>
      <c r="KZR116" s="210"/>
      <c r="KZS116" s="211"/>
      <c r="KZT116" s="210"/>
      <c r="KZU116" s="210"/>
      <c r="KZV116" s="210"/>
      <c r="KZW116" s="210"/>
      <c r="KZX116" s="212"/>
      <c r="KZY116" s="196"/>
      <c r="KZZ116" s="197"/>
      <c r="LAA116" s="209"/>
      <c r="LAB116" s="209"/>
      <c r="LAC116" s="210"/>
      <c r="LAD116" s="210"/>
      <c r="LAE116" s="211"/>
      <c r="LAF116" s="210"/>
      <c r="LAG116" s="210"/>
      <c r="LAH116" s="210"/>
      <c r="LAI116" s="210"/>
      <c r="LAJ116" s="212"/>
      <c r="LAK116" s="196"/>
      <c r="LAL116" s="197"/>
      <c r="LAM116" s="209"/>
      <c r="LAN116" s="209"/>
      <c r="LAO116" s="210"/>
      <c r="LAP116" s="210"/>
      <c r="LAQ116" s="211"/>
      <c r="LAR116" s="210"/>
      <c r="LAS116" s="210"/>
      <c r="LAT116" s="210"/>
      <c r="LAU116" s="210"/>
      <c r="LAV116" s="212"/>
      <c r="LAW116" s="196"/>
      <c r="LAX116" s="197"/>
      <c r="LAY116" s="209"/>
      <c r="LAZ116" s="209"/>
      <c r="LBA116" s="210"/>
      <c r="LBB116" s="210"/>
      <c r="LBC116" s="211"/>
      <c r="LBD116" s="210"/>
      <c r="LBE116" s="210"/>
      <c r="LBF116" s="210"/>
      <c r="LBG116" s="210"/>
      <c r="LBH116" s="212"/>
      <c r="LBI116" s="196"/>
      <c r="LBJ116" s="197"/>
      <c r="LBK116" s="209"/>
      <c r="LBL116" s="209"/>
      <c r="LBM116" s="210"/>
      <c r="LBN116" s="210"/>
      <c r="LBO116" s="211"/>
      <c r="LBP116" s="210"/>
      <c r="LBQ116" s="210"/>
      <c r="LBR116" s="210"/>
      <c r="LBS116" s="210"/>
      <c r="LBT116" s="212"/>
      <c r="LBU116" s="196"/>
      <c r="LBV116" s="197"/>
      <c r="LBW116" s="209"/>
      <c r="LBX116" s="209"/>
      <c r="LBY116" s="210"/>
      <c r="LBZ116" s="210"/>
      <c r="LCA116" s="211"/>
      <c r="LCB116" s="210"/>
      <c r="LCC116" s="210"/>
      <c r="LCD116" s="210"/>
      <c r="LCE116" s="210"/>
      <c r="LCF116" s="212"/>
      <c r="LCG116" s="196"/>
      <c r="LCH116" s="197"/>
      <c r="LCI116" s="209"/>
      <c r="LCJ116" s="209"/>
      <c r="LCK116" s="210"/>
      <c r="LCL116" s="210"/>
      <c r="LCM116" s="211"/>
      <c r="LCN116" s="210"/>
      <c r="LCO116" s="210"/>
      <c r="LCP116" s="210"/>
      <c r="LCQ116" s="210"/>
      <c r="LCR116" s="212"/>
      <c r="LCS116" s="196"/>
      <c r="LCT116" s="197"/>
      <c r="LCU116" s="209"/>
      <c r="LCV116" s="209"/>
      <c r="LCW116" s="210"/>
      <c r="LCX116" s="210"/>
      <c r="LCY116" s="211"/>
      <c r="LCZ116" s="210"/>
      <c r="LDA116" s="210"/>
      <c r="LDB116" s="210"/>
      <c r="LDC116" s="210"/>
      <c r="LDD116" s="212"/>
      <c r="LDE116" s="196"/>
      <c r="LDF116" s="197"/>
      <c r="LDG116" s="209"/>
      <c r="LDH116" s="209"/>
      <c r="LDI116" s="210"/>
      <c r="LDJ116" s="210"/>
      <c r="LDK116" s="211"/>
      <c r="LDL116" s="210"/>
      <c r="LDM116" s="210"/>
      <c r="LDN116" s="210"/>
      <c r="LDO116" s="210"/>
      <c r="LDP116" s="212"/>
      <c r="LDQ116" s="196"/>
      <c r="LDR116" s="197"/>
      <c r="LDS116" s="209"/>
      <c r="LDT116" s="209"/>
      <c r="LDU116" s="210"/>
      <c r="LDV116" s="210"/>
      <c r="LDW116" s="211"/>
      <c r="LDX116" s="210"/>
      <c r="LDY116" s="210"/>
      <c r="LDZ116" s="210"/>
      <c r="LEA116" s="210"/>
      <c r="LEB116" s="212"/>
      <c r="LEC116" s="196"/>
      <c r="LED116" s="197"/>
      <c r="LEE116" s="209"/>
      <c r="LEF116" s="209"/>
      <c r="LEG116" s="210"/>
      <c r="LEH116" s="210"/>
      <c r="LEI116" s="211"/>
      <c r="LEJ116" s="210"/>
      <c r="LEK116" s="210"/>
      <c r="LEL116" s="210"/>
      <c r="LEM116" s="210"/>
      <c r="LEN116" s="212"/>
      <c r="LEO116" s="196"/>
      <c r="LEP116" s="197"/>
      <c r="LEQ116" s="209"/>
      <c r="LER116" s="209"/>
      <c r="LES116" s="210"/>
      <c r="LET116" s="210"/>
      <c r="LEU116" s="211"/>
      <c r="LEV116" s="210"/>
      <c r="LEW116" s="210"/>
      <c r="LEX116" s="210"/>
      <c r="LEY116" s="210"/>
      <c r="LEZ116" s="212"/>
      <c r="LFA116" s="196"/>
      <c r="LFB116" s="197"/>
      <c r="LFC116" s="209"/>
      <c r="LFD116" s="209"/>
      <c r="LFE116" s="210"/>
      <c r="LFF116" s="210"/>
      <c r="LFG116" s="211"/>
      <c r="LFH116" s="210"/>
      <c r="LFI116" s="210"/>
      <c r="LFJ116" s="210"/>
      <c r="LFK116" s="210"/>
      <c r="LFL116" s="212"/>
      <c r="LFM116" s="196"/>
      <c r="LFN116" s="197"/>
      <c r="LFO116" s="209"/>
      <c r="LFP116" s="209"/>
      <c r="LFQ116" s="210"/>
      <c r="LFR116" s="210"/>
      <c r="LFS116" s="211"/>
      <c r="LFT116" s="210"/>
      <c r="LFU116" s="210"/>
      <c r="LFV116" s="210"/>
      <c r="LFW116" s="210"/>
      <c r="LFX116" s="212"/>
      <c r="LFY116" s="196"/>
      <c r="LFZ116" s="197"/>
      <c r="LGA116" s="209"/>
      <c r="LGB116" s="209"/>
      <c r="LGC116" s="210"/>
      <c r="LGD116" s="210"/>
      <c r="LGE116" s="211"/>
      <c r="LGF116" s="210"/>
      <c r="LGG116" s="210"/>
      <c r="LGH116" s="210"/>
      <c r="LGI116" s="210"/>
      <c r="LGJ116" s="212"/>
      <c r="LGK116" s="196"/>
      <c r="LGL116" s="197"/>
      <c r="LGM116" s="209"/>
      <c r="LGN116" s="209"/>
      <c r="LGO116" s="210"/>
      <c r="LGP116" s="210"/>
      <c r="LGQ116" s="211"/>
      <c r="LGR116" s="210"/>
      <c r="LGS116" s="210"/>
      <c r="LGT116" s="210"/>
      <c r="LGU116" s="210"/>
      <c r="LGV116" s="212"/>
      <c r="LGW116" s="196"/>
      <c r="LGX116" s="197"/>
      <c r="LGY116" s="209"/>
      <c r="LGZ116" s="209"/>
      <c r="LHA116" s="210"/>
      <c r="LHB116" s="210"/>
      <c r="LHC116" s="211"/>
      <c r="LHD116" s="210"/>
      <c r="LHE116" s="210"/>
      <c r="LHF116" s="210"/>
      <c r="LHG116" s="210"/>
      <c r="LHH116" s="212"/>
      <c r="LHI116" s="196"/>
      <c r="LHJ116" s="197"/>
      <c r="LHK116" s="209"/>
      <c r="LHL116" s="209"/>
      <c r="LHM116" s="210"/>
      <c r="LHN116" s="210"/>
      <c r="LHO116" s="211"/>
      <c r="LHP116" s="210"/>
      <c r="LHQ116" s="210"/>
      <c r="LHR116" s="210"/>
      <c r="LHS116" s="210"/>
      <c r="LHT116" s="212"/>
      <c r="LHU116" s="196"/>
      <c r="LHV116" s="197"/>
      <c r="LHW116" s="209"/>
      <c r="LHX116" s="209"/>
      <c r="LHY116" s="210"/>
      <c r="LHZ116" s="210"/>
      <c r="LIA116" s="211"/>
      <c r="LIB116" s="210"/>
      <c r="LIC116" s="210"/>
      <c r="LID116" s="210"/>
      <c r="LIE116" s="210"/>
      <c r="LIF116" s="212"/>
      <c r="LIG116" s="196"/>
      <c r="LIH116" s="197"/>
      <c r="LII116" s="209"/>
      <c r="LIJ116" s="209"/>
      <c r="LIK116" s="210"/>
      <c r="LIL116" s="210"/>
      <c r="LIM116" s="211"/>
      <c r="LIN116" s="210"/>
      <c r="LIO116" s="210"/>
      <c r="LIP116" s="210"/>
      <c r="LIQ116" s="210"/>
      <c r="LIR116" s="212"/>
      <c r="LIS116" s="196"/>
      <c r="LIT116" s="197"/>
      <c r="LIU116" s="209"/>
      <c r="LIV116" s="209"/>
      <c r="LIW116" s="210"/>
      <c r="LIX116" s="210"/>
      <c r="LIY116" s="211"/>
      <c r="LIZ116" s="210"/>
      <c r="LJA116" s="210"/>
      <c r="LJB116" s="210"/>
      <c r="LJC116" s="210"/>
      <c r="LJD116" s="212"/>
      <c r="LJE116" s="196"/>
      <c r="LJF116" s="197"/>
      <c r="LJG116" s="209"/>
      <c r="LJH116" s="209"/>
      <c r="LJI116" s="210"/>
      <c r="LJJ116" s="210"/>
      <c r="LJK116" s="211"/>
      <c r="LJL116" s="210"/>
      <c r="LJM116" s="210"/>
      <c r="LJN116" s="210"/>
      <c r="LJO116" s="210"/>
      <c r="LJP116" s="212"/>
      <c r="LJQ116" s="196"/>
      <c r="LJR116" s="197"/>
      <c r="LJS116" s="209"/>
      <c r="LJT116" s="209"/>
      <c r="LJU116" s="210"/>
      <c r="LJV116" s="210"/>
      <c r="LJW116" s="211"/>
      <c r="LJX116" s="210"/>
      <c r="LJY116" s="210"/>
      <c r="LJZ116" s="210"/>
      <c r="LKA116" s="210"/>
      <c r="LKB116" s="212"/>
      <c r="LKC116" s="196"/>
      <c r="LKD116" s="197"/>
      <c r="LKE116" s="209"/>
      <c r="LKF116" s="209"/>
      <c r="LKG116" s="210"/>
      <c r="LKH116" s="210"/>
      <c r="LKI116" s="211"/>
      <c r="LKJ116" s="210"/>
      <c r="LKK116" s="210"/>
      <c r="LKL116" s="210"/>
      <c r="LKM116" s="210"/>
      <c r="LKN116" s="212"/>
      <c r="LKO116" s="196"/>
      <c r="LKP116" s="197"/>
      <c r="LKQ116" s="209"/>
      <c r="LKR116" s="209"/>
      <c r="LKS116" s="210"/>
      <c r="LKT116" s="210"/>
      <c r="LKU116" s="211"/>
      <c r="LKV116" s="210"/>
      <c r="LKW116" s="210"/>
      <c r="LKX116" s="210"/>
      <c r="LKY116" s="210"/>
      <c r="LKZ116" s="212"/>
      <c r="LLA116" s="196"/>
      <c r="LLB116" s="197"/>
      <c r="LLC116" s="209"/>
      <c r="LLD116" s="209"/>
      <c r="LLE116" s="210"/>
      <c r="LLF116" s="210"/>
      <c r="LLG116" s="211"/>
      <c r="LLH116" s="210"/>
      <c r="LLI116" s="210"/>
      <c r="LLJ116" s="210"/>
      <c r="LLK116" s="210"/>
      <c r="LLL116" s="212"/>
      <c r="LLM116" s="196"/>
      <c r="LLN116" s="197"/>
      <c r="LLO116" s="209"/>
      <c r="LLP116" s="209"/>
      <c r="LLQ116" s="210"/>
      <c r="LLR116" s="210"/>
      <c r="LLS116" s="211"/>
      <c r="LLT116" s="210"/>
      <c r="LLU116" s="210"/>
      <c r="LLV116" s="210"/>
      <c r="LLW116" s="210"/>
      <c r="LLX116" s="212"/>
      <c r="LLY116" s="196"/>
      <c r="LLZ116" s="197"/>
      <c r="LMA116" s="209"/>
      <c r="LMB116" s="209"/>
      <c r="LMC116" s="210"/>
      <c r="LMD116" s="210"/>
      <c r="LME116" s="211"/>
      <c r="LMF116" s="210"/>
      <c r="LMG116" s="210"/>
      <c r="LMH116" s="210"/>
      <c r="LMI116" s="210"/>
      <c r="LMJ116" s="212"/>
      <c r="LMK116" s="196"/>
      <c r="LML116" s="197"/>
      <c r="LMM116" s="209"/>
      <c r="LMN116" s="209"/>
      <c r="LMO116" s="210"/>
      <c r="LMP116" s="210"/>
      <c r="LMQ116" s="211"/>
      <c r="LMR116" s="210"/>
      <c r="LMS116" s="210"/>
      <c r="LMT116" s="210"/>
      <c r="LMU116" s="210"/>
      <c r="LMV116" s="212"/>
      <c r="LMW116" s="196"/>
      <c r="LMX116" s="197"/>
      <c r="LMY116" s="209"/>
      <c r="LMZ116" s="209"/>
      <c r="LNA116" s="210"/>
      <c r="LNB116" s="210"/>
      <c r="LNC116" s="211"/>
      <c r="LND116" s="210"/>
      <c r="LNE116" s="210"/>
      <c r="LNF116" s="210"/>
      <c r="LNG116" s="210"/>
      <c r="LNH116" s="212"/>
      <c r="LNI116" s="196"/>
      <c r="LNJ116" s="197"/>
      <c r="LNK116" s="209"/>
      <c r="LNL116" s="209"/>
      <c r="LNM116" s="210"/>
      <c r="LNN116" s="210"/>
      <c r="LNO116" s="211"/>
      <c r="LNP116" s="210"/>
      <c r="LNQ116" s="210"/>
      <c r="LNR116" s="210"/>
      <c r="LNS116" s="210"/>
      <c r="LNT116" s="212"/>
      <c r="LNU116" s="196"/>
      <c r="LNV116" s="197"/>
      <c r="LNW116" s="209"/>
      <c r="LNX116" s="209"/>
      <c r="LNY116" s="210"/>
      <c r="LNZ116" s="210"/>
      <c r="LOA116" s="211"/>
      <c r="LOB116" s="210"/>
      <c r="LOC116" s="210"/>
      <c r="LOD116" s="210"/>
      <c r="LOE116" s="210"/>
      <c r="LOF116" s="212"/>
      <c r="LOG116" s="196"/>
      <c r="LOH116" s="197"/>
      <c r="LOI116" s="209"/>
      <c r="LOJ116" s="209"/>
      <c r="LOK116" s="210"/>
      <c r="LOL116" s="210"/>
      <c r="LOM116" s="211"/>
      <c r="LON116" s="210"/>
      <c r="LOO116" s="210"/>
      <c r="LOP116" s="210"/>
      <c r="LOQ116" s="210"/>
      <c r="LOR116" s="212"/>
      <c r="LOS116" s="196"/>
      <c r="LOT116" s="197"/>
      <c r="LOU116" s="209"/>
      <c r="LOV116" s="209"/>
      <c r="LOW116" s="210"/>
      <c r="LOX116" s="210"/>
      <c r="LOY116" s="211"/>
      <c r="LOZ116" s="210"/>
      <c r="LPA116" s="210"/>
      <c r="LPB116" s="210"/>
      <c r="LPC116" s="210"/>
      <c r="LPD116" s="212"/>
      <c r="LPE116" s="196"/>
      <c r="LPF116" s="197"/>
      <c r="LPG116" s="209"/>
      <c r="LPH116" s="209"/>
      <c r="LPI116" s="210"/>
      <c r="LPJ116" s="210"/>
      <c r="LPK116" s="211"/>
      <c r="LPL116" s="210"/>
      <c r="LPM116" s="210"/>
      <c r="LPN116" s="210"/>
      <c r="LPO116" s="210"/>
      <c r="LPP116" s="212"/>
      <c r="LPQ116" s="196"/>
      <c r="LPR116" s="197"/>
      <c r="LPS116" s="209"/>
      <c r="LPT116" s="209"/>
      <c r="LPU116" s="210"/>
      <c r="LPV116" s="210"/>
      <c r="LPW116" s="211"/>
      <c r="LPX116" s="210"/>
      <c r="LPY116" s="210"/>
      <c r="LPZ116" s="210"/>
      <c r="LQA116" s="210"/>
      <c r="LQB116" s="212"/>
      <c r="LQC116" s="196"/>
      <c r="LQD116" s="197"/>
      <c r="LQE116" s="209"/>
      <c r="LQF116" s="209"/>
      <c r="LQG116" s="210"/>
      <c r="LQH116" s="210"/>
      <c r="LQI116" s="211"/>
      <c r="LQJ116" s="210"/>
      <c r="LQK116" s="210"/>
      <c r="LQL116" s="210"/>
      <c r="LQM116" s="210"/>
      <c r="LQN116" s="212"/>
      <c r="LQO116" s="196"/>
      <c r="LQP116" s="197"/>
      <c r="LQQ116" s="209"/>
      <c r="LQR116" s="209"/>
      <c r="LQS116" s="210"/>
      <c r="LQT116" s="210"/>
      <c r="LQU116" s="211"/>
      <c r="LQV116" s="210"/>
      <c r="LQW116" s="210"/>
      <c r="LQX116" s="210"/>
      <c r="LQY116" s="210"/>
      <c r="LQZ116" s="212"/>
      <c r="LRA116" s="196"/>
      <c r="LRB116" s="197"/>
      <c r="LRC116" s="209"/>
      <c r="LRD116" s="209"/>
      <c r="LRE116" s="210"/>
      <c r="LRF116" s="210"/>
      <c r="LRG116" s="211"/>
      <c r="LRH116" s="210"/>
      <c r="LRI116" s="210"/>
      <c r="LRJ116" s="210"/>
      <c r="LRK116" s="210"/>
      <c r="LRL116" s="212"/>
      <c r="LRM116" s="196"/>
      <c r="LRN116" s="197"/>
      <c r="LRO116" s="209"/>
      <c r="LRP116" s="209"/>
      <c r="LRQ116" s="210"/>
      <c r="LRR116" s="210"/>
      <c r="LRS116" s="211"/>
      <c r="LRT116" s="210"/>
      <c r="LRU116" s="210"/>
      <c r="LRV116" s="210"/>
      <c r="LRW116" s="210"/>
      <c r="LRX116" s="212"/>
      <c r="LRY116" s="196"/>
      <c r="LRZ116" s="197"/>
      <c r="LSA116" s="209"/>
      <c r="LSB116" s="209"/>
      <c r="LSC116" s="210"/>
      <c r="LSD116" s="210"/>
      <c r="LSE116" s="211"/>
      <c r="LSF116" s="210"/>
      <c r="LSG116" s="210"/>
      <c r="LSH116" s="210"/>
      <c r="LSI116" s="210"/>
      <c r="LSJ116" s="212"/>
      <c r="LSK116" s="196"/>
      <c r="LSL116" s="197"/>
      <c r="LSM116" s="209"/>
      <c r="LSN116" s="209"/>
      <c r="LSO116" s="210"/>
      <c r="LSP116" s="210"/>
      <c r="LSQ116" s="211"/>
      <c r="LSR116" s="210"/>
      <c r="LSS116" s="210"/>
      <c r="LST116" s="210"/>
      <c r="LSU116" s="210"/>
      <c r="LSV116" s="212"/>
      <c r="LSW116" s="196"/>
      <c r="LSX116" s="197"/>
      <c r="LSY116" s="209"/>
      <c r="LSZ116" s="209"/>
      <c r="LTA116" s="210"/>
      <c r="LTB116" s="210"/>
      <c r="LTC116" s="211"/>
      <c r="LTD116" s="210"/>
      <c r="LTE116" s="210"/>
      <c r="LTF116" s="210"/>
      <c r="LTG116" s="210"/>
      <c r="LTH116" s="212"/>
      <c r="LTI116" s="196"/>
      <c r="LTJ116" s="197"/>
      <c r="LTK116" s="209"/>
      <c r="LTL116" s="209"/>
      <c r="LTM116" s="210"/>
      <c r="LTN116" s="210"/>
      <c r="LTO116" s="211"/>
      <c r="LTP116" s="210"/>
      <c r="LTQ116" s="210"/>
      <c r="LTR116" s="210"/>
      <c r="LTS116" s="210"/>
      <c r="LTT116" s="212"/>
      <c r="LTU116" s="196"/>
      <c r="LTV116" s="197"/>
      <c r="LTW116" s="209"/>
      <c r="LTX116" s="209"/>
      <c r="LTY116" s="210"/>
      <c r="LTZ116" s="210"/>
      <c r="LUA116" s="211"/>
      <c r="LUB116" s="210"/>
      <c r="LUC116" s="210"/>
      <c r="LUD116" s="210"/>
      <c r="LUE116" s="210"/>
      <c r="LUF116" s="212"/>
      <c r="LUG116" s="196"/>
      <c r="LUH116" s="197"/>
      <c r="LUI116" s="209"/>
      <c r="LUJ116" s="209"/>
      <c r="LUK116" s="210"/>
      <c r="LUL116" s="210"/>
      <c r="LUM116" s="211"/>
      <c r="LUN116" s="210"/>
      <c r="LUO116" s="210"/>
      <c r="LUP116" s="210"/>
      <c r="LUQ116" s="210"/>
      <c r="LUR116" s="212"/>
      <c r="LUS116" s="196"/>
      <c r="LUT116" s="197"/>
      <c r="LUU116" s="209"/>
      <c r="LUV116" s="209"/>
      <c r="LUW116" s="210"/>
      <c r="LUX116" s="210"/>
      <c r="LUY116" s="211"/>
      <c r="LUZ116" s="210"/>
      <c r="LVA116" s="210"/>
      <c r="LVB116" s="210"/>
      <c r="LVC116" s="210"/>
      <c r="LVD116" s="212"/>
      <c r="LVE116" s="196"/>
      <c r="LVF116" s="197"/>
      <c r="LVG116" s="209"/>
      <c r="LVH116" s="209"/>
      <c r="LVI116" s="210"/>
      <c r="LVJ116" s="210"/>
      <c r="LVK116" s="211"/>
      <c r="LVL116" s="210"/>
      <c r="LVM116" s="210"/>
      <c r="LVN116" s="210"/>
      <c r="LVO116" s="210"/>
      <c r="LVP116" s="212"/>
      <c r="LVQ116" s="196"/>
      <c r="LVR116" s="197"/>
      <c r="LVS116" s="209"/>
      <c r="LVT116" s="209"/>
      <c r="LVU116" s="210"/>
      <c r="LVV116" s="210"/>
      <c r="LVW116" s="211"/>
      <c r="LVX116" s="210"/>
      <c r="LVY116" s="210"/>
      <c r="LVZ116" s="210"/>
      <c r="LWA116" s="210"/>
      <c r="LWB116" s="212"/>
      <c r="LWC116" s="196"/>
      <c r="LWD116" s="197"/>
      <c r="LWE116" s="209"/>
      <c r="LWF116" s="209"/>
      <c r="LWG116" s="210"/>
      <c r="LWH116" s="210"/>
      <c r="LWI116" s="211"/>
      <c r="LWJ116" s="210"/>
      <c r="LWK116" s="210"/>
      <c r="LWL116" s="210"/>
      <c r="LWM116" s="210"/>
      <c r="LWN116" s="212"/>
      <c r="LWO116" s="196"/>
      <c r="LWP116" s="197"/>
      <c r="LWQ116" s="209"/>
      <c r="LWR116" s="209"/>
      <c r="LWS116" s="210"/>
      <c r="LWT116" s="210"/>
      <c r="LWU116" s="211"/>
      <c r="LWV116" s="210"/>
      <c r="LWW116" s="210"/>
      <c r="LWX116" s="210"/>
      <c r="LWY116" s="210"/>
      <c r="LWZ116" s="212"/>
      <c r="LXA116" s="196"/>
      <c r="LXB116" s="197"/>
      <c r="LXC116" s="209"/>
      <c r="LXD116" s="209"/>
      <c r="LXE116" s="210"/>
      <c r="LXF116" s="210"/>
      <c r="LXG116" s="211"/>
      <c r="LXH116" s="210"/>
      <c r="LXI116" s="210"/>
      <c r="LXJ116" s="210"/>
      <c r="LXK116" s="210"/>
      <c r="LXL116" s="212"/>
      <c r="LXM116" s="196"/>
      <c r="LXN116" s="197"/>
      <c r="LXO116" s="209"/>
      <c r="LXP116" s="209"/>
      <c r="LXQ116" s="210"/>
      <c r="LXR116" s="210"/>
      <c r="LXS116" s="211"/>
      <c r="LXT116" s="210"/>
      <c r="LXU116" s="210"/>
      <c r="LXV116" s="210"/>
      <c r="LXW116" s="210"/>
      <c r="LXX116" s="212"/>
      <c r="LXY116" s="196"/>
      <c r="LXZ116" s="197"/>
      <c r="LYA116" s="209"/>
      <c r="LYB116" s="209"/>
      <c r="LYC116" s="210"/>
      <c r="LYD116" s="210"/>
      <c r="LYE116" s="211"/>
      <c r="LYF116" s="210"/>
      <c r="LYG116" s="210"/>
      <c r="LYH116" s="210"/>
      <c r="LYI116" s="210"/>
      <c r="LYJ116" s="212"/>
      <c r="LYK116" s="196"/>
      <c r="LYL116" s="197"/>
      <c r="LYM116" s="209"/>
      <c r="LYN116" s="209"/>
      <c r="LYO116" s="210"/>
      <c r="LYP116" s="210"/>
      <c r="LYQ116" s="211"/>
      <c r="LYR116" s="210"/>
      <c r="LYS116" s="210"/>
      <c r="LYT116" s="210"/>
      <c r="LYU116" s="210"/>
      <c r="LYV116" s="212"/>
      <c r="LYW116" s="196"/>
      <c r="LYX116" s="197"/>
      <c r="LYY116" s="209"/>
      <c r="LYZ116" s="209"/>
      <c r="LZA116" s="210"/>
      <c r="LZB116" s="210"/>
      <c r="LZC116" s="211"/>
      <c r="LZD116" s="210"/>
      <c r="LZE116" s="210"/>
      <c r="LZF116" s="210"/>
      <c r="LZG116" s="210"/>
      <c r="LZH116" s="212"/>
      <c r="LZI116" s="196"/>
      <c r="LZJ116" s="197"/>
      <c r="LZK116" s="209"/>
      <c r="LZL116" s="209"/>
      <c r="LZM116" s="210"/>
      <c r="LZN116" s="210"/>
      <c r="LZO116" s="211"/>
      <c r="LZP116" s="210"/>
      <c r="LZQ116" s="210"/>
      <c r="LZR116" s="210"/>
      <c r="LZS116" s="210"/>
      <c r="LZT116" s="212"/>
      <c r="LZU116" s="196"/>
      <c r="LZV116" s="197"/>
      <c r="LZW116" s="209"/>
      <c r="LZX116" s="209"/>
      <c r="LZY116" s="210"/>
      <c r="LZZ116" s="210"/>
      <c r="MAA116" s="211"/>
      <c r="MAB116" s="210"/>
      <c r="MAC116" s="210"/>
      <c r="MAD116" s="210"/>
      <c r="MAE116" s="210"/>
      <c r="MAF116" s="212"/>
      <c r="MAG116" s="196"/>
      <c r="MAH116" s="197"/>
      <c r="MAI116" s="209"/>
      <c r="MAJ116" s="209"/>
      <c r="MAK116" s="210"/>
      <c r="MAL116" s="210"/>
      <c r="MAM116" s="211"/>
      <c r="MAN116" s="210"/>
      <c r="MAO116" s="210"/>
      <c r="MAP116" s="210"/>
      <c r="MAQ116" s="210"/>
      <c r="MAR116" s="212"/>
      <c r="MAS116" s="196"/>
      <c r="MAT116" s="197"/>
      <c r="MAU116" s="209"/>
      <c r="MAV116" s="209"/>
      <c r="MAW116" s="210"/>
      <c r="MAX116" s="210"/>
      <c r="MAY116" s="211"/>
      <c r="MAZ116" s="210"/>
      <c r="MBA116" s="210"/>
      <c r="MBB116" s="210"/>
      <c r="MBC116" s="210"/>
      <c r="MBD116" s="212"/>
      <c r="MBE116" s="196"/>
      <c r="MBF116" s="197"/>
      <c r="MBG116" s="209"/>
      <c r="MBH116" s="209"/>
      <c r="MBI116" s="210"/>
      <c r="MBJ116" s="210"/>
      <c r="MBK116" s="211"/>
      <c r="MBL116" s="210"/>
      <c r="MBM116" s="210"/>
      <c r="MBN116" s="210"/>
      <c r="MBO116" s="210"/>
      <c r="MBP116" s="212"/>
      <c r="MBQ116" s="196"/>
      <c r="MBR116" s="197"/>
      <c r="MBS116" s="209"/>
      <c r="MBT116" s="209"/>
      <c r="MBU116" s="210"/>
      <c r="MBV116" s="210"/>
      <c r="MBW116" s="211"/>
      <c r="MBX116" s="210"/>
      <c r="MBY116" s="210"/>
      <c r="MBZ116" s="210"/>
      <c r="MCA116" s="210"/>
      <c r="MCB116" s="212"/>
      <c r="MCC116" s="196"/>
      <c r="MCD116" s="197"/>
      <c r="MCE116" s="209"/>
      <c r="MCF116" s="209"/>
      <c r="MCG116" s="210"/>
      <c r="MCH116" s="210"/>
      <c r="MCI116" s="211"/>
      <c r="MCJ116" s="210"/>
      <c r="MCK116" s="210"/>
      <c r="MCL116" s="210"/>
      <c r="MCM116" s="210"/>
      <c r="MCN116" s="212"/>
      <c r="MCO116" s="196"/>
      <c r="MCP116" s="197"/>
      <c r="MCQ116" s="209"/>
      <c r="MCR116" s="209"/>
      <c r="MCS116" s="210"/>
      <c r="MCT116" s="210"/>
      <c r="MCU116" s="211"/>
      <c r="MCV116" s="210"/>
      <c r="MCW116" s="210"/>
      <c r="MCX116" s="210"/>
      <c r="MCY116" s="210"/>
      <c r="MCZ116" s="212"/>
      <c r="MDA116" s="196"/>
      <c r="MDB116" s="197"/>
      <c r="MDC116" s="209"/>
      <c r="MDD116" s="209"/>
      <c r="MDE116" s="210"/>
      <c r="MDF116" s="210"/>
      <c r="MDG116" s="211"/>
      <c r="MDH116" s="210"/>
      <c r="MDI116" s="210"/>
      <c r="MDJ116" s="210"/>
      <c r="MDK116" s="210"/>
      <c r="MDL116" s="212"/>
      <c r="MDM116" s="196"/>
      <c r="MDN116" s="197"/>
      <c r="MDO116" s="209"/>
      <c r="MDP116" s="209"/>
      <c r="MDQ116" s="210"/>
      <c r="MDR116" s="210"/>
      <c r="MDS116" s="211"/>
      <c r="MDT116" s="210"/>
      <c r="MDU116" s="210"/>
      <c r="MDV116" s="210"/>
      <c r="MDW116" s="210"/>
      <c r="MDX116" s="212"/>
      <c r="MDY116" s="196"/>
      <c r="MDZ116" s="197"/>
      <c r="MEA116" s="209"/>
      <c r="MEB116" s="209"/>
      <c r="MEC116" s="210"/>
      <c r="MED116" s="210"/>
      <c r="MEE116" s="211"/>
      <c r="MEF116" s="210"/>
      <c r="MEG116" s="210"/>
      <c r="MEH116" s="210"/>
      <c r="MEI116" s="210"/>
      <c r="MEJ116" s="212"/>
      <c r="MEK116" s="196"/>
      <c r="MEL116" s="197"/>
      <c r="MEM116" s="209"/>
      <c r="MEN116" s="209"/>
      <c r="MEO116" s="210"/>
      <c r="MEP116" s="210"/>
      <c r="MEQ116" s="211"/>
      <c r="MER116" s="210"/>
      <c r="MES116" s="210"/>
      <c r="MET116" s="210"/>
      <c r="MEU116" s="210"/>
      <c r="MEV116" s="212"/>
      <c r="MEW116" s="196"/>
      <c r="MEX116" s="197"/>
      <c r="MEY116" s="209"/>
      <c r="MEZ116" s="209"/>
      <c r="MFA116" s="210"/>
      <c r="MFB116" s="210"/>
      <c r="MFC116" s="211"/>
      <c r="MFD116" s="210"/>
      <c r="MFE116" s="210"/>
      <c r="MFF116" s="210"/>
      <c r="MFG116" s="210"/>
      <c r="MFH116" s="212"/>
      <c r="MFI116" s="196"/>
      <c r="MFJ116" s="197"/>
      <c r="MFK116" s="209"/>
      <c r="MFL116" s="209"/>
      <c r="MFM116" s="210"/>
      <c r="MFN116" s="210"/>
      <c r="MFO116" s="211"/>
      <c r="MFP116" s="210"/>
      <c r="MFQ116" s="210"/>
      <c r="MFR116" s="210"/>
      <c r="MFS116" s="210"/>
      <c r="MFT116" s="212"/>
      <c r="MFU116" s="196"/>
      <c r="MFV116" s="197"/>
      <c r="MFW116" s="209"/>
      <c r="MFX116" s="209"/>
      <c r="MFY116" s="210"/>
      <c r="MFZ116" s="210"/>
      <c r="MGA116" s="211"/>
      <c r="MGB116" s="210"/>
      <c r="MGC116" s="210"/>
      <c r="MGD116" s="210"/>
      <c r="MGE116" s="210"/>
      <c r="MGF116" s="212"/>
      <c r="MGG116" s="196"/>
      <c r="MGH116" s="197"/>
      <c r="MGI116" s="209"/>
      <c r="MGJ116" s="209"/>
      <c r="MGK116" s="210"/>
      <c r="MGL116" s="210"/>
      <c r="MGM116" s="211"/>
      <c r="MGN116" s="210"/>
      <c r="MGO116" s="210"/>
      <c r="MGP116" s="210"/>
      <c r="MGQ116" s="210"/>
      <c r="MGR116" s="212"/>
      <c r="MGS116" s="196"/>
      <c r="MGT116" s="197"/>
      <c r="MGU116" s="209"/>
      <c r="MGV116" s="209"/>
      <c r="MGW116" s="210"/>
      <c r="MGX116" s="210"/>
      <c r="MGY116" s="211"/>
      <c r="MGZ116" s="210"/>
      <c r="MHA116" s="210"/>
      <c r="MHB116" s="210"/>
      <c r="MHC116" s="210"/>
      <c r="MHD116" s="212"/>
      <c r="MHE116" s="196"/>
      <c r="MHF116" s="197"/>
      <c r="MHG116" s="209"/>
      <c r="MHH116" s="209"/>
      <c r="MHI116" s="210"/>
      <c r="MHJ116" s="210"/>
      <c r="MHK116" s="211"/>
      <c r="MHL116" s="210"/>
      <c r="MHM116" s="210"/>
      <c r="MHN116" s="210"/>
      <c r="MHO116" s="210"/>
      <c r="MHP116" s="212"/>
      <c r="MHQ116" s="196"/>
      <c r="MHR116" s="197"/>
      <c r="MHS116" s="209"/>
      <c r="MHT116" s="209"/>
      <c r="MHU116" s="210"/>
      <c r="MHV116" s="210"/>
      <c r="MHW116" s="211"/>
      <c r="MHX116" s="210"/>
      <c r="MHY116" s="210"/>
      <c r="MHZ116" s="210"/>
      <c r="MIA116" s="210"/>
      <c r="MIB116" s="212"/>
      <c r="MIC116" s="196"/>
      <c r="MID116" s="197"/>
      <c r="MIE116" s="209"/>
      <c r="MIF116" s="209"/>
      <c r="MIG116" s="210"/>
      <c r="MIH116" s="210"/>
      <c r="MII116" s="211"/>
      <c r="MIJ116" s="210"/>
      <c r="MIK116" s="210"/>
      <c r="MIL116" s="210"/>
      <c r="MIM116" s="210"/>
      <c r="MIN116" s="212"/>
      <c r="MIO116" s="196"/>
      <c r="MIP116" s="197"/>
      <c r="MIQ116" s="209"/>
      <c r="MIR116" s="209"/>
      <c r="MIS116" s="210"/>
      <c r="MIT116" s="210"/>
      <c r="MIU116" s="211"/>
      <c r="MIV116" s="210"/>
      <c r="MIW116" s="210"/>
      <c r="MIX116" s="210"/>
      <c r="MIY116" s="210"/>
      <c r="MIZ116" s="212"/>
      <c r="MJA116" s="196"/>
      <c r="MJB116" s="197"/>
      <c r="MJC116" s="209"/>
      <c r="MJD116" s="209"/>
      <c r="MJE116" s="210"/>
      <c r="MJF116" s="210"/>
      <c r="MJG116" s="211"/>
      <c r="MJH116" s="210"/>
      <c r="MJI116" s="210"/>
      <c r="MJJ116" s="210"/>
      <c r="MJK116" s="210"/>
      <c r="MJL116" s="212"/>
      <c r="MJM116" s="196"/>
      <c r="MJN116" s="197"/>
      <c r="MJO116" s="209"/>
      <c r="MJP116" s="209"/>
      <c r="MJQ116" s="210"/>
      <c r="MJR116" s="210"/>
      <c r="MJS116" s="211"/>
      <c r="MJT116" s="210"/>
      <c r="MJU116" s="210"/>
      <c r="MJV116" s="210"/>
      <c r="MJW116" s="210"/>
      <c r="MJX116" s="212"/>
      <c r="MJY116" s="196"/>
      <c r="MJZ116" s="197"/>
      <c r="MKA116" s="209"/>
      <c r="MKB116" s="209"/>
      <c r="MKC116" s="210"/>
      <c r="MKD116" s="210"/>
      <c r="MKE116" s="211"/>
      <c r="MKF116" s="210"/>
      <c r="MKG116" s="210"/>
      <c r="MKH116" s="210"/>
      <c r="MKI116" s="210"/>
      <c r="MKJ116" s="212"/>
      <c r="MKK116" s="196"/>
      <c r="MKL116" s="197"/>
      <c r="MKM116" s="209"/>
      <c r="MKN116" s="209"/>
      <c r="MKO116" s="210"/>
      <c r="MKP116" s="210"/>
      <c r="MKQ116" s="211"/>
      <c r="MKR116" s="210"/>
      <c r="MKS116" s="210"/>
      <c r="MKT116" s="210"/>
      <c r="MKU116" s="210"/>
      <c r="MKV116" s="212"/>
      <c r="MKW116" s="196"/>
      <c r="MKX116" s="197"/>
      <c r="MKY116" s="209"/>
      <c r="MKZ116" s="209"/>
      <c r="MLA116" s="210"/>
      <c r="MLB116" s="210"/>
      <c r="MLC116" s="211"/>
      <c r="MLD116" s="210"/>
      <c r="MLE116" s="210"/>
      <c r="MLF116" s="210"/>
      <c r="MLG116" s="210"/>
      <c r="MLH116" s="212"/>
      <c r="MLI116" s="196"/>
      <c r="MLJ116" s="197"/>
      <c r="MLK116" s="209"/>
      <c r="MLL116" s="209"/>
      <c r="MLM116" s="210"/>
      <c r="MLN116" s="210"/>
      <c r="MLO116" s="211"/>
      <c r="MLP116" s="210"/>
      <c r="MLQ116" s="210"/>
      <c r="MLR116" s="210"/>
      <c r="MLS116" s="210"/>
      <c r="MLT116" s="212"/>
      <c r="MLU116" s="196"/>
      <c r="MLV116" s="197"/>
      <c r="MLW116" s="209"/>
      <c r="MLX116" s="209"/>
      <c r="MLY116" s="210"/>
      <c r="MLZ116" s="210"/>
      <c r="MMA116" s="211"/>
      <c r="MMB116" s="210"/>
      <c r="MMC116" s="210"/>
      <c r="MMD116" s="210"/>
      <c r="MME116" s="210"/>
      <c r="MMF116" s="212"/>
      <c r="MMG116" s="196"/>
      <c r="MMH116" s="197"/>
      <c r="MMI116" s="209"/>
      <c r="MMJ116" s="209"/>
      <c r="MMK116" s="210"/>
      <c r="MML116" s="210"/>
      <c r="MMM116" s="211"/>
      <c r="MMN116" s="210"/>
      <c r="MMO116" s="210"/>
      <c r="MMP116" s="210"/>
      <c r="MMQ116" s="210"/>
      <c r="MMR116" s="212"/>
      <c r="MMS116" s="196"/>
      <c r="MMT116" s="197"/>
      <c r="MMU116" s="209"/>
      <c r="MMV116" s="209"/>
      <c r="MMW116" s="210"/>
      <c r="MMX116" s="210"/>
      <c r="MMY116" s="211"/>
      <c r="MMZ116" s="210"/>
      <c r="MNA116" s="210"/>
      <c r="MNB116" s="210"/>
      <c r="MNC116" s="210"/>
      <c r="MND116" s="212"/>
      <c r="MNE116" s="196"/>
      <c r="MNF116" s="197"/>
      <c r="MNG116" s="209"/>
      <c r="MNH116" s="209"/>
      <c r="MNI116" s="210"/>
      <c r="MNJ116" s="210"/>
      <c r="MNK116" s="211"/>
      <c r="MNL116" s="210"/>
      <c r="MNM116" s="210"/>
      <c r="MNN116" s="210"/>
      <c r="MNO116" s="210"/>
      <c r="MNP116" s="212"/>
      <c r="MNQ116" s="196"/>
      <c r="MNR116" s="197"/>
      <c r="MNS116" s="209"/>
      <c r="MNT116" s="209"/>
      <c r="MNU116" s="210"/>
      <c r="MNV116" s="210"/>
      <c r="MNW116" s="211"/>
      <c r="MNX116" s="210"/>
      <c r="MNY116" s="210"/>
      <c r="MNZ116" s="210"/>
      <c r="MOA116" s="210"/>
      <c r="MOB116" s="212"/>
      <c r="MOC116" s="196"/>
      <c r="MOD116" s="197"/>
      <c r="MOE116" s="209"/>
      <c r="MOF116" s="209"/>
      <c r="MOG116" s="210"/>
      <c r="MOH116" s="210"/>
      <c r="MOI116" s="211"/>
      <c r="MOJ116" s="210"/>
      <c r="MOK116" s="210"/>
      <c r="MOL116" s="210"/>
      <c r="MOM116" s="210"/>
      <c r="MON116" s="212"/>
      <c r="MOO116" s="196"/>
      <c r="MOP116" s="197"/>
      <c r="MOQ116" s="209"/>
      <c r="MOR116" s="209"/>
      <c r="MOS116" s="210"/>
      <c r="MOT116" s="210"/>
      <c r="MOU116" s="211"/>
      <c r="MOV116" s="210"/>
      <c r="MOW116" s="210"/>
      <c r="MOX116" s="210"/>
      <c r="MOY116" s="210"/>
      <c r="MOZ116" s="212"/>
      <c r="MPA116" s="196"/>
      <c r="MPB116" s="197"/>
      <c r="MPC116" s="209"/>
      <c r="MPD116" s="209"/>
      <c r="MPE116" s="210"/>
      <c r="MPF116" s="210"/>
      <c r="MPG116" s="211"/>
      <c r="MPH116" s="210"/>
      <c r="MPI116" s="210"/>
      <c r="MPJ116" s="210"/>
      <c r="MPK116" s="210"/>
      <c r="MPL116" s="212"/>
      <c r="MPM116" s="196"/>
      <c r="MPN116" s="197"/>
      <c r="MPO116" s="209"/>
      <c r="MPP116" s="209"/>
      <c r="MPQ116" s="210"/>
      <c r="MPR116" s="210"/>
      <c r="MPS116" s="211"/>
      <c r="MPT116" s="210"/>
      <c r="MPU116" s="210"/>
      <c r="MPV116" s="210"/>
      <c r="MPW116" s="210"/>
      <c r="MPX116" s="212"/>
      <c r="MPY116" s="196"/>
      <c r="MPZ116" s="197"/>
      <c r="MQA116" s="209"/>
      <c r="MQB116" s="209"/>
      <c r="MQC116" s="210"/>
      <c r="MQD116" s="210"/>
      <c r="MQE116" s="211"/>
      <c r="MQF116" s="210"/>
      <c r="MQG116" s="210"/>
      <c r="MQH116" s="210"/>
      <c r="MQI116" s="210"/>
      <c r="MQJ116" s="212"/>
      <c r="MQK116" s="196"/>
      <c r="MQL116" s="197"/>
      <c r="MQM116" s="209"/>
      <c r="MQN116" s="209"/>
      <c r="MQO116" s="210"/>
      <c r="MQP116" s="210"/>
      <c r="MQQ116" s="211"/>
      <c r="MQR116" s="210"/>
      <c r="MQS116" s="210"/>
      <c r="MQT116" s="210"/>
      <c r="MQU116" s="210"/>
      <c r="MQV116" s="212"/>
      <c r="MQW116" s="196"/>
      <c r="MQX116" s="197"/>
      <c r="MQY116" s="209"/>
      <c r="MQZ116" s="209"/>
      <c r="MRA116" s="210"/>
      <c r="MRB116" s="210"/>
      <c r="MRC116" s="211"/>
      <c r="MRD116" s="210"/>
      <c r="MRE116" s="210"/>
      <c r="MRF116" s="210"/>
      <c r="MRG116" s="210"/>
      <c r="MRH116" s="212"/>
      <c r="MRI116" s="196"/>
      <c r="MRJ116" s="197"/>
      <c r="MRK116" s="209"/>
      <c r="MRL116" s="209"/>
      <c r="MRM116" s="210"/>
      <c r="MRN116" s="210"/>
      <c r="MRO116" s="211"/>
      <c r="MRP116" s="210"/>
      <c r="MRQ116" s="210"/>
      <c r="MRR116" s="210"/>
      <c r="MRS116" s="210"/>
      <c r="MRT116" s="212"/>
      <c r="MRU116" s="196"/>
      <c r="MRV116" s="197"/>
      <c r="MRW116" s="209"/>
      <c r="MRX116" s="209"/>
      <c r="MRY116" s="210"/>
      <c r="MRZ116" s="210"/>
      <c r="MSA116" s="211"/>
      <c r="MSB116" s="210"/>
      <c r="MSC116" s="210"/>
      <c r="MSD116" s="210"/>
      <c r="MSE116" s="210"/>
      <c r="MSF116" s="212"/>
      <c r="MSG116" s="196"/>
      <c r="MSH116" s="197"/>
      <c r="MSI116" s="209"/>
      <c r="MSJ116" s="209"/>
      <c r="MSK116" s="210"/>
      <c r="MSL116" s="210"/>
      <c r="MSM116" s="211"/>
      <c r="MSN116" s="210"/>
      <c r="MSO116" s="210"/>
      <c r="MSP116" s="210"/>
      <c r="MSQ116" s="210"/>
      <c r="MSR116" s="212"/>
      <c r="MSS116" s="196"/>
      <c r="MST116" s="197"/>
      <c r="MSU116" s="209"/>
      <c r="MSV116" s="209"/>
      <c r="MSW116" s="210"/>
      <c r="MSX116" s="210"/>
      <c r="MSY116" s="211"/>
      <c r="MSZ116" s="210"/>
      <c r="MTA116" s="210"/>
      <c r="MTB116" s="210"/>
      <c r="MTC116" s="210"/>
      <c r="MTD116" s="212"/>
      <c r="MTE116" s="196"/>
      <c r="MTF116" s="197"/>
      <c r="MTG116" s="209"/>
      <c r="MTH116" s="209"/>
      <c r="MTI116" s="210"/>
      <c r="MTJ116" s="210"/>
      <c r="MTK116" s="211"/>
      <c r="MTL116" s="210"/>
      <c r="MTM116" s="210"/>
      <c r="MTN116" s="210"/>
      <c r="MTO116" s="210"/>
      <c r="MTP116" s="212"/>
      <c r="MTQ116" s="196"/>
      <c r="MTR116" s="197"/>
      <c r="MTS116" s="209"/>
      <c r="MTT116" s="209"/>
      <c r="MTU116" s="210"/>
      <c r="MTV116" s="210"/>
      <c r="MTW116" s="211"/>
      <c r="MTX116" s="210"/>
      <c r="MTY116" s="210"/>
      <c r="MTZ116" s="210"/>
      <c r="MUA116" s="210"/>
      <c r="MUB116" s="212"/>
      <c r="MUC116" s="196"/>
      <c r="MUD116" s="197"/>
      <c r="MUE116" s="209"/>
      <c r="MUF116" s="209"/>
      <c r="MUG116" s="210"/>
      <c r="MUH116" s="210"/>
      <c r="MUI116" s="211"/>
      <c r="MUJ116" s="210"/>
      <c r="MUK116" s="210"/>
      <c r="MUL116" s="210"/>
      <c r="MUM116" s="210"/>
      <c r="MUN116" s="212"/>
      <c r="MUO116" s="196"/>
      <c r="MUP116" s="197"/>
      <c r="MUQ116" s="209"/>
      <c r="MUR116" s="209"/>
      <c r="MUS116" s="210"/>
      <c r="MUT116" s="210"/>
      <c r="MUU116" s="211"/>
      <c r="MUV116" s="210"/>
      <c r="MUW116" s="210"/>
      <c r="MUX116" s="210"/>
      <c r="MUY116" s="210"/>
      <c r="MUZ116" s="212"/>
      <c r="MVA116" s="196"/>
      <c r="MVB116" s="197"/>
      <c r="MVC116" s="209"/>
      <c r="MVD116" s="209"/>
      <c r="MVE116" s="210"/>
      <c r="MVF116" s="210"/>
      <c r="MVG116" s="211"/>
      <c r="MVH116" s="210"/>
      <c r="MVI116" s="210"/>
      <c r="MVJ116" s="210"/>
      <c r="MVK116" s="210"/>
      <c r="MVL116" s="212"/>
      <c r="MVM116" s="196"/>
      <c r="MVN116" s="197"/>
      <c r="MVO116" s="209"/>
      <c r="MVP116" s="209"/>
      <c r="MVQ116" s="210"/>
      <c r="MVR116" s="210"/>
      <c r="MVS116" s="211"/>
      <c r="MVT116" s="210"/>
      <c r="MVU116" s="210"/>
      <c r="MVV116" s="210"/>
      <c r="MVW116" s="210"/>
      <c r="MVX116" s="212"/>
      <c r="MVY116" s="196"/>
      <c r="MVZ116" s="197"/>
      <c r="MWA116" s="209"/>
      <c r="MWB116" s="209"/>
      <c r="MWC116" s="210"/>
      <c r="MWD116" s="210"/>
      <c r="MWE116" s="211"/>
      <c r="MWF116" s="210"/>
      <c r="MWG116" s="210"/>
      <c r="MWH116" s="210"/>
      <c r="MWI116" s="210"/>
      <c r="MWJ116" s="212"/>
      <c r="MWK116" s="196"/>
      <c r="MWL116" s="197"/>
      <c r="MWM116" s="209"/>
      <c r="MWN116" s="209"/>
      <c r="MWO116" s="210"/>
      <c r="MWP116" s="210"/>
      <c r="MWQ116" s="211"/>
      <c r="MWR116" s="210"/>
      <c r="MWS116" s="210"/>
      <c r="MWT116" s="210"/>
      <c r="MWU116" s="210"/>
      <c r="MWV116" s="212"/>
      <c r="MWW116" s="196"/>
      <c r="MWX116" s="197"/>
      <c r="MWY116" s="209"/>
      <c r="MWZ116" s="209"/>
      <c r="MXA116" s="210"/>
      <c r="MXB116" s="210"/>
      <c r="MXC116" s="211"/>
      <c r="MXD116" s="210"/>
      <c r="MXE116" s="210"/>
      <c r="MXF116" s="210"/>
      <c r="MXG116" s="210"/>
      <c r="MXH116" s="212"/>
      <c r="MXI116" s="196"/>
      <c r="MXJ116" s="197"/>
      <c r="MXK116" s="209"/>
      <c r="MXL116" s="209"/>
      <c r="MXM116" s="210"/>
      <c r="MXN116" s="210"/>
      <c r="MXO116" s="211"/>
      <c r="MXP116" s="210"/>
      <c r="MXQ116" s="210"/>
      <c r="MXR116" s="210"/>
      <c r="MXS116" s="210"/>
      <c r="MXT116" s="212"/>
      <c r="MXU116" s="196"/>
      <c r="MXV116" s="197"/>
      <c r="MXW116" s="209"/>
      <c r="MXX116" s="209"/>
      <c r="MXY116" s="210"/>
      <c r="MXZ116" s="210"/>
      <c r="MYA116" s="211"/>
      <c r="MYB116" s="210"/>
      <c r="MYC116" s="210"/>
      <c r="MYD116" s="210"/>
      <c r="MYE116" s="210"/>
      <c r="MYF116" s="212"/>
      <c r="MYG116" s="196"/>
      <c r="MYH116" s="197"/>
      <c r="MYI116" s="209"/>
      <c r="MYJ116" s="209"/>
      <c r="MYK116" s="210"/>
      <c r="MYL116" s="210"/>
      <c r="MYM116" s="211"/>
      <c r="MYN116" s="210"/>
      <c r="MYO116" s="210"/>
      <c r="MYP116" s="210"/>
      <c r="MYQ116" s="210"/>
      <c r="MYR116" s="212"/>
      <c r="MYS116" s="196"/>
      <c r="MYT116" s="197"/>
      <c r="MYU116" s="209"/>
      <c r="MYV116" s="209"/>
      <c r="MYW116" s="210"/>
      <c r="MYX116" s="210"/>
      <c r="MYY116" s="211"/>
      <c r="MYZ116" s="210"/>
      <c r="MZA116" s="210"/>
      <c r="MZB116" s="210"/>
      <c r="MZC116" s="210"/>
      <c r="MZD116" s="212"/>
      <c r="MZE116" s="196"/>
      <c r="MZF116" s="197"/>
      <c r="MZG116" s="209"/>
      <c r="MZH116" s="209"/>
      <c r="MZI116" s="210"/>
      <c r="MZJ116" s="210"/>
      <c r="MZK116" s="211"/>
      <c r="MZL116" s="210"/>
      <c r="MZM116" s="210"/>
      <c r="MZN116" s="210"/>
      <c r="MZO116" s="210"/>
      <c r="MZP116" s="212"/>
      <c r="MZQ116" s="196"/>
      <c r="MZR116" s="197"/>
      <c r="MZS116" s="209"/>
      <c r="MZT116" s="209"/>
      <c r="MZU116" s="210"/>
      <c r="MZV116" s="210"/>
      <c r="MZW116" s="211"/>
      <c r="MZX116" s="210"/>
      <c r="MZY116" s="210"/>
      <c r="MZZ116" s="210"/>
      <c r="NAA116" s="210"/>
      <c r="NAB116" s="212"/>
      <c r="NAC116" s="196"/>
      <c r="NAD116" s="197"/>
      <c r="NAE116" s="209"/>
      <c r="NAF116" s="209"/>
      <c r="NAG116" s="210"/>
      <c r="NAH116" s="210"/>
      <c r="NAI116" s="211"/>
      <c r="NAJ116" s="210"/>
      <c r="NAK116" s="210"/>
      <c r="NAL116" s="210"/>
      <c r="NAM116" s="210"/>
      <c r="NAN116" s="212"/>
      <c r="NAO116" s="196"/>
      <c r="NAP116" s="197"/>
      <c r="NAQ116" s="209"/>
      <c r="NAR116" s="209"/>
      <c r="NAS116" s="210"/>
      <c r="NAT116" s="210"/>
      <c r="NAU116" s="211"/>
      <c r="NAV116" s="210"/>
      <c r="NAW116" s="210"/>
      <c r="NAX116" s="210"/>
      <c r="NAY116" s="210"/>
      <c r="NAZ116" s="212"/>
      <c r="NBA116" s="196"/>
      <c r="NBB116" s="197"/>
      <c r="NBC116" s="209"/>
      <c r="NBD116" s="209"/>
      <c r="NBE116" s="210"/>
      <c r="NBF116" s="210"/>
      <c r="NBG116" s="211"/>
      <c r="NBH116" s="210"/>
      <c r="NBI116" s="210"/>
      <c r="NBJ116" s="210"/>
      <c r="NBK116" s="210"/>
      <c r="NBL116" s="212"/>
      <c r="NBM116" s="196"/>
      <c r="NBN116" s="197"/>
      <c r="NBO116" s="209"/>
      <c r="NBP116" s="209"/>
      <c r="NBQ116" s="210"/>
      <c r="NBR116" s="210"/>
      <c r="NBS116" s="211"/>
      <c r="NBT116" s="210"/>
      <c r="NBU116" s="210"/>
      <c r="NBV116" s="210"/>
      <c r="NBW116" s="210"/>
      <c r="NBX116" s="212"/>
      <c r="NBY116" s="196"/>
      <c r="NBZ116" s="197"/>
      <c r="NCA116" s="209"/>
      <c r="NCB116" s="209"/>
      <c r="NCC116" s="210"/>
      <c r="NCD116" s="210"/>
      <c r="NCE116" s="211"/>
      <c r="NCF116" s="210"/>
      <c r="NCG116" s="210"/>
      <c r="NCH116" s="210"/>
      <c r="NCI116" s="210"/>
      <c r="NCJ116" s="212"/>
      <c r="NCK116" s="196"/>
      <c r="NCL116" s="197"/>
      <c r="NCM116" s="209"/>
      <c r="NCN116" s="209"/>
      <c r="NCO116" s="210"/>
      <c r="NCP116" s="210"/>
      <c r="NCQ116" s="211"/>
      <c r="NCR116" s="210"/>
      <c r="NCS116" s="210"/>
      <c r="NCT116" s="210"/>
      <c r="NCU116" s="210"/>
      <c r="NCV116" s="212"/>
      <c r="NCW116" s="196"/>
      <c r="NCX116" s="197"/>
      <c r="NCY116" s="209"/>
      <c r="NCZ116" s="209"/>
      <c r="NDA116" s="210"/>
      <c r="NDB116" s="210"/>
      <c r="NDC116" s="211"/>
      <c r="NDD116" s="210"/>
      <c r="NDE116" s="210"/>
      <c r="NDF116" s="210"/>
      <c r="NDG116" s="210"/>
      <c r="NDH116" s="212"/>
      <c r="NDI116" s="196"/>
      <c r="NDJ116" s="197"/>
      <c r="NDK116" s="209"/>
      <c r="NDL116" s="209"/>
      <c r="NDM116" s="210"/>
      <c r="NDN116" s="210"/>
      <c r="NDO116" s="211"/>
      <c r="NDP116" s="210"/>
      <c r="NDQ116" s="210"/>
      <c r="NDR116" s="210"/>
      <c r="NDS116" s="210"/>
      <c r="NDT116" s="212"/>
      <c r="NDU116" s="196"/>
      <c r="NDV116" s="197"/>
      <c r="NDW116" s="209"/>
      <c r="NDX116" s="209"/>
      <c r="NDY116" s="210"/>
      <c r="NDZ116" s="210"/>
      <c r="NEA116" s="211"/>
      <c r="NEB116" s="210"/>
      <c r="NEC116" s="210"/>
      <c r="NED116" s="210"/>
      <c r="NEE116" s="210"/>
      <c r="NEF116" s="212"/>
      <c r="NEG116" s="196"/>
      <c r="NEH116" s="197"/>
      <c r="NEI116" s="209"/>
      <c r="NEJ116" s="209"/>
      <c r="NEK116" s="210"/>
      <c r="NEL116" s="210"/>
      <c r="NEM116" s="211"/>
      <c r="NEN116" s="210"/>
      <c r="NEO116" s="210"/>
      <c r="NEP116" s="210"/>
      <c r="NEQ116" s="210"/>
      <c r="NER116" s="212"/>
      <c r="NES116" s="196"/>
      <c r="NET116" s="197"/>
      <c r="NEU116" s="209"/>
      <c r="NEV116" s="209"/>
      <c r="NEW116" s="210"/>
      <c r="NEX116" s="210"/>
      <c r="NEY116" s="211"/>
      <c r="NEZ116" s="210"/>
      <c r="NFA116" s="210"/>
      <c r="NFB116" s="210"/>
      <c r="NFC116" s="210"/>
      <c r="NFD116" s="212"/>
      <c r="NFE116" s="196"/>
      <c r="NFF116" s="197"/>
      <c r="NFG116" s="209"/>
      <c r="NFH116" s="209"/>
      <c r="NFI116" s="210"/>
      <c r="NFJ116" s="210"/>
      <c r="NFK116" s="211"/>
      <c r="NFL116" s="210"/>
      <c r="NFM116" s="210"/>
      <c r="NFN116" s="210"/>
      <c r="NFO116" s="210"/>
      <c r="NFP116" s="212"/>
      <c r="NFQ116" s="196"/>
      <c r="NFR116" s="197"/>
      <c r="NFS116" s="209"/>
      <c r="NFT116" s="209"/>
      <c r="NFU116" s="210"/>
      <c r="NFV116" s="210"/>
      <c r="NFW116" s="211"/>
      <c r="NFX116" s="210"/>
      <c r="NFY116" s="210"/>
      <c r="NFZ116" s="210"/>
      <c r="NGA116" s="210"/>
      <c r="NGB116" s="212"/>
      <c r="NGC116" s="196"/>
      <c r="NGD116" s="197"/>
      <c r="NGE116" s="209"/>
      <c r="NGF116" s="209"/>
      <c r="NGG116" s="210"/>
      <c r="NGH116" s="210"/>
      <c r="NGI116" s="211"/>
      <c r="NGJ116" s="210"/>
      <c r="NGK116" s="210"/>
      <c r="NGL116" s="210"/>
      <c r="NGM116" s="210"/>
      <c r="NGN116" s="212"/>
      <c r="NGO116" s="196"/>
      <c r="NGP116" s="197"/>
      <c r="NGQ116" s="209"/>
      <c r="NGR116" s="209"/>
      <c r="NGS116" s="210"/>
      <c r="NGT116" s="210"/>
      <c r="NGU116" s="211"/>
      <c r="NGV116" s="210"/>
      <c r="NGW116" s="210"/>
      <c r="NGX116" s="210"/>
      <c r="NGY116" s="210"/>
      <c r="NGZ116" s="212"/>
      <c r="NHA116" s="196"/>
      <c r="NHB116" s="197"/>
      <c r="NHC116" s="209"/>
      <c r="NHD116" s="209"/>
      <c r="NHE116" s="210"/>
      <c r="NHF116" s="210"/>
      <c r="NHG116" s="211"/>
      <c r="NHH116" s="210"/>
      <c r="NHI116" s="210"/>
      <c r="NHJ116" s="210"/>
      <c r="NHK116" s="210"/>
      <c r="NHL116" s="212"/>
      <c r="NHM116" s="196"/>
      <c r="NHN116" s="197"/>
      <c r="NHO116" s="209"/>
      <c r="NHP116" s="209"/>
      <c r="NHQ116" s="210"/>
      <c r="NHR116" s="210"/>
      <c r="NHS116" s="211"/>
      <c r="NHT116" s="210"/>
      <c r="NHU116" s="210"/>
      <c r="NHV116" s="210"/>
      <c r="NHW116" s="210"/>
      <c r="NHX116" s="212"/>
      <c r="NHY116" s="196"/>
      <c r="NHZ116" s="197"/>
      <c r="NIA116" s="209"/>
      <c r="NIB116" s="209"/>
      <c r="NIC116" s="210"/>
      <c r="NID116" s="210"/>
      <c r="NIE116" s="211"/>
      <c r="NIF116" s="210"/>
      <c r="NIG116" s="210"/>
      <c r="NIH116" s="210"/>
      <c r="NII116" s="210"/>
      <c r="NIJ116" s="212"/>
      <c r="NIK116" s="196"/>
      <c r="NIL116" s="197"/>
      <c r="NIM116" s="209"/>
      <c r="NIN116" s="209"/>
      <c r="NIO116" s="210"/>
      <c r="NIP116" s="210"/>
      <c r="NIQ116" s="211"/>
      <c r="NIR116" s="210"/>
      <c r="NIS116" s="210"/>
      <c r="NIT116" s="210"/>
      <c r="NIU116" s="210"/>
      <c r="NIV116" s="212"/>
      <c r="NIW116" s="196"/>
      <c r="NIX116" s="197"/>
      <c r="NIY116" s="209"/>
      <c r="NIZ116" s="209"/>
      <c r="NJA116" s="210"/>
      <c r="NJB116" s="210"/>
      <c r="NJC116" s="211"/>
      <c r="NJD116" s="210"/>
      <c r="NJE116" s="210"/>
      <c r="NJF116" s="210"/>
      <c r="NJG116" s="210"/>
      <c r="NJH116" s="212"/>
      <c r="NJI116" s="196"/>
      <c r="NJJ116" s="197"/>
      <c r="NJK116" s="209"/>
      <c r="NJL116" s="209"/>
      <c r="NJM116" s="210"/>
      <c r="NJN116" s="210"/>
      <c r="NJO116" s="211"/>
      <c r="NJP116" s="210"/>
      <c r="NJQ116" s="210"/>
      <c r="NJR116" s="210"/>
      <c r="NJS116" s="210"/>
      <c r="NJT116" s="212"/>
      <c r="NJU116" s="196"/>
      <c r="NJV116" s="197"/>
      <c r="NJW116" s="209"/>
      <c r="NJX116" s="209"/>
      <c r="NJY116" s="210"/>
      <c r="NJZ116" s="210"/>
      <c r="NKA116" s="211"/>
      <c r="NKB116" s="210"/>
      <c r="NKC116" s="210"/>
      <c r="NKD116" s="210"/>
      <c r="NKE116" s="210"/>
      <c r="NKF116" s="212"/>
      <c r="NKG116" s="196"/>
      <c r="NKH116" s="197"/>
      <c r="NKI116" s="209"/>
      <c r="NKJ116" s="209"/>
      <c r="NKK116" s="210"/>
      <c r="NKL116" s="210"/>
      <c r="NKM116" s="211"/>
      <c r="NKN116" s="210"/>
      <c r="NKO116" s="210"/>
      <c r="NKP116" s="210"/>
      <c r="NKQ116" s="210"/>
      <c r="NKR116" s="212"/>
      <c r="NKS116" s="196"/>
      <c r="NKT116" s="197"/>
      <c r="NKU116" s="209"/>
      <c r="NKV116" s="209"/>
      <c r="NKW116" s="210"/>
      <c r="NKX116" s="210"/>
      <c r="NKY116" s="211"/>
      <c r="NKZ116" s="210"/>
      <c r="NLA116" s="210"/>
      <c r="NLB116" s="210"/>
      <c r="NLC116" s="210"/>
      <c r="NLD116" s="212"/>
      <c r="NLE116" s="196"/>
      <c r="NLF116" s="197"/>
      <c r="NLG116" s="209"/>
      <c r="NLH116" s="209"/>
      <c r="NLI116" s="210"/>
      <c r="NLJ116" s="210"/>
      <c r="NLK116" s="211"/>
      <c r="NLL116" s="210"/>
      <c r="NLM116" s="210"/>
      <c r="NLN116" s="210"/>
      <c r="NLO116" s="210"/>
      <c r="NLP116" s="212"/>
      <c r="NLQ116" s="196"/>
      <c r="NLR116" s="197"/>
      <c r="NLS116" s="209"/>
      <c r="NLT116" s="209"/>
      <c r="NLU116" s="210"/>
      <c r="NLV116" s="210"/>
      <c r="NLW116" s="211"/>
      <c r="NLX116" s="210"/>
      <c r="NLY116" s="210"/>
      <c r="NLZ116" s="210"/>
      <c r="NMA116" s="210"/>
      <c r="NMB116" s="212"/>
      <c r="NMC116" s="196"/>
      <c r="NMD116" s="197"/>
      <c r="NME116" s="209"/>
      <c r="NMF116" s="209"/>
      <c r="NMG116" s="210"/>
      <c r="NMH116" s="210"/>
      <c r="NMI116" s="211"/>
      <c r="NMJ116" s="210"/>
      <c r="NMK116" s="210"/>
      <c r="NML116" s="210"/>
      <c r="NMM116" s="210"/>
      <c r="NMN116" s="212"/>
      <c r="NMO116" s="196"/>
      <c r="NMP116" s="197"/>
      <c r="NMQ116" s="209"/>
      <c r="NMR116" s="209"/>
      <c r="NMS116" s="210"/>
      <c r="NMT116" s="210"/>
      <c r="NMU116" s="211"/>
      <c r="NMV116" s="210"/>
      <c r="NMW116" s="210"/>
      <c r="NMX116" s="210"/>
      <c r="NMY116" s="210"/>
      <c r="NMZ116" s="212"/>
      <c r="NNA116" s="196"/>
      <c r="NNB116" s="197"/>
      <c r="NNC116" s="209"/>
      <c r="NND116" s="209"/>
      <c r="NNE116" s="210"/>
      <c r="NNF116" s="210"/>
      <c r="NNG116" s="211"/>
      <c r="NNH116" s="210"/>
      <c r="NNI116" s="210"/>
      <c r="NNJ116" s="210"/>
      <c r="NNK116" s="210"/>
      <c r="NNL116" s="212"/>
      <c r="NNM116" s="196"/>
      <c r="NNN116" s="197"/>
      <c r="NNO116" s="209"/>
      <c r="NNP116" s="209"/>
      <c r="NNQ116" s="210"/>
      <c r="NNR116" s="210"/>
      <c r="NNS116" s="211"/>
      <c r="NNT116" s="210"/>
      <c r="NNU116" s="210"/>
      <c r="NNV116" s="210"/>
      <c r="NNW116" s="210"/>
      <c r="NNX116" s="212"/>
      <c r="NNY116" s="196"/>
      <c r="NNZ116" s="197"/>
      <c r="NOA116" s="209"/>
      <c r="NOB116" s="209"/>
      <c r="NOC116" s="210"/>
      <c r="NOD116" s="210"/>
      <c r="NOE116" s="211"/>
      <c r="NOF116" s="210"/>
      <c r="NOG116" s="210"/>
      <c r="NOH116" s="210"/>
      <c r="NOI116" s="210"/>
      <c r="NOJ116" s="212"/>
      <c r="NOK116" s="196"/>
      <c r="NOL116" s="197"/>
      <c r="NOM116" s="209"/>
      <c r="NON116" s="209"/>
      <c r="NOO116" s="210"/>
      <c r="NOP116" s="210"/>
      <c r="NOQ116" s="211"/>
      <c r="NOR116" s="210"/>
      <c r="NOS116" s="210"/>
      <c r="NOT116" s="210"/>
      <c r="NOU116" s="210"/>
      <c r="NOV116" s="212"/>
      <c r="NOW116" s="196"/>
      <c r="NOX116" s="197"/>
      <c r="NOY116" s="209"/>
      <c r="NOZ116" s="209"/>
      <c r="NPA116" s="210"/>
      <c r="NPB116" s="210"/>
      <c r="NPC116" s="211"/>
      <c r="NPD116" s="210"/>
      <c r="NPE116" s="210"/>
      <c r="NPF116" s="210"/>
      <c r="NPG116" s="210"/>
      <c r="NPH116" s="212"/>
      <c r="NPI116" s="196"/>
      <c r="NPJ116" s="197"/>
      <c r="NPK116" s="209"/>
      <c r="NPL116" s="209"/>
      <c r="NPM116" s="210"/>
      <c r="NPN116" s="210"/>
      <c r="NPO116" s="211"/>
      <c r="NPP116" s="210"/>
      <c r="NPQ116" s="210"/>
      <c r="NPR116" s="210"/>
      <c r="NPS116" s="210"/>
      <c r="NPT116" s="212"/>
      <c r="NPU116" s="196"/>
      <c r="NPV116" s="197"/>
      <c r="NPW116" s="209"/>
      <c r="NPX116" s="209"/>
      <c r="NPY116" s="210"/>
      <c r="NPZ116" s="210"/>
      <c r="NQA116" s="211"/>
      <c r="NQB116" s="210"/>
      <c r="NQC116" s="210"/>
      <c r="NQD116" s="210"/>
      <c r="NQE116" s="210"/>
      <c r="NQF116" s="212"/>
      <c r="NQG116" s="196"/>
      <c r="NQH116" s="197"/>
      <c r="NQI116" s="209"/>
      <c r="NQJ116" s="209"/>
      <c r="NQK116" s="210"/>
      <c r="NQL116" s="210"/>
      <c r="NQM116" s="211"/>
      <c r="NQN116" s="210"/>
      <c r="NQO116" s="210"/>
      <c r="NQP116" s="210"/>
      <c r="NQQ116" s="210"/>
      <c r="NQR116" s="212"/>
      <c r="NQS116" s="196"/>
      <c r="NQT116" s="197"/>
      <c r="NQU116" s="209"/>
      <c r="NQV116" s="209"/>
      <c r="NQW116" s="210"/>
      <c r="NQX116" s="210"/>
      <c r="NQY116" s="211"/>
      <c r="NQZ116" s="210"/>
      <c r="NRA116" s="210"/>
      <c r="NRB116" s="210"/>
      <c r="NRC116" s="210"/>
      <c r="NRD116" s="212"/>
      <c r="NRE116" s="196"/>
      <c r="NRF116" s="197"/>
      <c r="NRG116" s="209"/>
      <c r="NRH116" s="209"/>
      <c r="NRI116" s="210"/>
      <c r="NRJ116" s="210"/>
      <c r="NRK116" s="211"/>
      <c r="NRL116" s="210"/>
      <c r="NRM116" s="210"/>
      <c r="NRN116" s="210"/>
      <c r="NRO116" s="210"/>
      <c r="NRP116" s="212"/>
      <c r="NRQ116" s="196"/>
      <c r="NRR116" s="197"/>
      <c r="NRS116" s="209"/>
      <c r="NRT116" s="209"/>
      <c r="NRU116" s="210"/>
      <c r="NRV116" s="210"/>
      <c r="NRW116" s="211"/>
      <c r="NRX116" s="210"/>
      <c r="NRY116" s="210"/>
      <c r="NRZ116" s="210"/>
      <c r="NSA116" s="210"/>
      <c r="NSB116" s="212"/>
      <c r="NSC116" s="196"/>
      <c r="NSD116" s="197"/>
      <c r="NSE116" s="209"/>
      <c r="NSF116" s="209"/>
      <c r="NSG116" s="210"/>
      <c r="NSH116" s="210"/>
      <c r="NSI116" s="211"/>
      <c r="NSJ116" s="210"/>
      <c r="NSK116" s="210"/>
      <c r="NSL116" s="210"/>
      <c r="NSM116" s="210"/>
      <c r="NSN116" s="212"/>
      <c r="NSO116" s="196"/>
      <c r="NSP116" s="197"/>
      <c r="NSQ116" s="209"/>
      <c r="NSR116" s="209"/>
      <c r="NSS116" s="210"/>
      <c r="NST116" s="210"/>
      <c r="NSU116" s="211"/>
      <c r="NSV116" s="210"/>
      <c r="NSW116" s="210"/>
      <c r="NSX116" s="210"/>
      <c r="NSY116" s="210"/>
      <c r="NSZ116" s="212"/>
      <c r="NTA116" s="196"/>
      <c r="NTB116" s="197"/>
      <c r="NTC116" s="209"/>
      <c r="NTD116" s="209"/>
      <c r="NTE116" s="210"/>
      <c r="NTF116" s="210"/>
      <c r="NTG116" s="211"/>
      <c r="NTH116" s="210"/>
      <c r="NTI116" s="210"/>
      <c r="NTJ116" s="210"/>
      <c r="NTK116" s="210"/>
      <c r="NTL116" s="212"/>
      <c r="NTM116" s="196"/>
      <c r="NTN116" s="197"/>
      <c r="NTO116" s="209"/>
      <c r="NTP116" s="209"/>
      <c r="NTQ116" s="210"/>
      <c r="NTR116" s="210"/>
      <c r="NTS116" s="211"/>
      <c r="NTT116" s="210"/>
      <c r="NTU116" s="210"/>
      <c r="NTV116" s="210"/>
      <c r="NTW116" s="210"/>
      <c r="NTX116" s="212"/>
      <c r="NTY116" s="196"/>
      <c r="NTZ116" s="197"/>
      <c r="NUA116" s="209"/>
      <c r="NUB116" s="209"/>
      <c r="NUC116" s="210"/>
      <c r="NUD116" s="210"/>
      <c r="NUE116" s="211"/>
      <c r="NUF116" s="210"/>
      <c r="NUG116" s="210"/>
      <c r="NUH116" s="210"/>
      <c r="NUI116" s="210"/>
      <c r="NUJ116" s="212"/>
      <c r="NUK116" s="196"/>
      <c r="NUL116" s="197"/>
      <c r="NUM116" s="209"/>
      <c r="NUN116" s="209"/>
      <c r="NUO116" s="210"/>
      <c r="NUP116" s="210"/>
      <c r="NUQ116" s="211"/>
      <c r="NUR116" s="210"/>
      <c r="NUS116" s="210"/>
      <c r="NUT116" s="210"/>
      <c r="NUU116" s="210"/>
      <c r="NUV116" s="212"/>
      <c r="NUW116" s="196"/>
      <c r="NUX116" s="197"/>
      <c r="NUY116" s="209"/>
      <c r="NUZ116" s="209"/>
      <c r="NVA116" s="210"/>
      <c r="NVB116" s="210"/>
      <c r="NVC116" s="211"/>
      <c r="NVD116" s="210"/>
      <c r="NVE116" s="210"/>
      <c r="NVF116" s="210"/>
      <c r="NVG116" s="210"/>
      <c r="NVH116" s="212"/>
      <c r="NVI116" s="196"/>
      <c r="NVJ116" s="197"/>
      <c r="NVK116" s="209"/>
      <c r="NVL116" s="209"/>
      <c r="NVM116" s="210"/>
      <c r="NVN116" s="210"/>
      <c r="NVO116" s="211"/>
      <c r="NVP116" s="210"/>
      <c r="NVQ116" s="210"/>
      <c r="NVR116" s="210"/>
      <c r="NVS116" s="210"/>
      <c r="NVT116" s="212"/>
      <c r="NVU116" s="196"/>
      <c r="NVV116" s="197"/>
      <c r="NVW116" s="209"/>
      <c r="NVX116" s="209"/>
      <c r="NVY116" s="210"/>
      <c r="NVZ116" s="210"/>
      <c r="NWA116" s="211"/>
      <c r="NWB116" s="210"/>
      <c r="NWC116" s="210"/>
      <c r="NWD116" s="210"/>
      <c r="NWE116" s="210"/>
      <c r="NWF116" s="212"/>
      <c r="NWG116" s="196"/>
      <c r="NWH116" s="197"/>
      <c r="NWI116" s="209"/>
      <c r="NWJ116" s="209"/>
      <c r="NWK116" s="210"/>
      <c r="NWL116" s="210"/>
      <c r="NWM116" s="211"/>
      <c r="NWN116" s="210"/>
      <c r="NWO116" s="210"/>
      <c r="NWP116" s="210"/>
      <c r="NWQ116" s="210"/>
      <c r="NWR116" s="212"/>
      <c r="NWS116" s="196"/>
      <c r="NWT116" s="197"/>
      <c r="NWU116" s="209"/>
      <c r="NWV116" s="209"/>
      <c r="NWW116" s="210"/>
      <c r="NWX116" s="210"/>
      <c r="NWY116" s="211"/>
      <c r="NWZ116" s="210"/>
      <c r="NXA116" s="210"/>
      <c r="NXB116" s="210"/>
      <c r="NXC116" s="210"/>
      <c r="NXD116" s="212"/>
      <c r="NXE116" s="196"/>
      <c r="NXF116" s="197"/>
      <c r="NXG116" s="209"/>
      <c r="NXH116" s="209"/>
      <c r="NXI116" s="210"/>
      <c r="NXJ116" s="210"/>
      <c r="NXK116" s="211"/>
      <c r="NXL116" s="210"/>
      <c r="NXM116" s="210"/>
      <c r="NXN116" s="210"/>
      <c r="NXO116" s="210"/>
      <c r="NXP116" s="212"/>
      <c r="NXQ116" s="196"/>
      <c r="NXR116" s="197"/>
      <c r="NXS116" s="209"/>
      <c r="NXT116" s="209"/>
      <c r="NXU116" s="210"/>
      <c r="NXV116" s="210"/>
      <c r="NXW116" s="211"/>
      <c r="NXX116" s="210"/>
      <c r="NXY116" s="210"/>
      <c r="NXZ116" s="210"/>
      <c r="NYA116" s="210"/>
      <c r="NYB116" s="212"/>
      <c r="NYC116" s="196"/>
      <c r="NYD116" s="197"/>
      <c r="NYE116" s="209"/>
      <c r="NYF116" s="209"/>
      <c r="NYG116" s="210"/>
      <c r="NYH116" s="210"/>
      <c r="NYI116" s="211"/>
      <c r="NYJ116" s="210"/>
      <c r="NYK116" s="210"/>
      <c r="NYL116" s="210"/>
      <c r="NYM116" s="210"/>
      <c r="NYN116" s="212"/>
      <c r="NYO116" s="196"/>
      <c r="NYP116" s="197"/>
      <c r="NYQ116" s="209"/>
      <c r="NYR116" s="209"/>
      <c r="NYS116" s="210"/>
      <c r="NYT116" s="210"/>
      <c r="NYU116" s="211"/>
      <c r="NYV116" s="210"/>
      <c r="NYW116" s="210"/>
      <c r="NYX116" s="210"/>
      <c r="NYY116" s="210"/>
      <c r="NYZ116" s="212"/>
      <c r="NZA116" s="196"/>
      <c r="NZB116" s="197"/>
      <c r="NZC116" s="209"/>
      <c r="NZD116" s="209"/>
      <c r="NZE116" s="210"/>
      <c r="NZF116" s="210"/>
      <c r="NZG116" s="211"/>
      <c r="NZH116" s="210"/>
      <c r="NZI116" s="210"/>
      <c r="NZJ116" s="210"/>
      <c r="NZK116" s="210"/>
      <c r="NZL116" s="212"/>
      <c r="NZM116" s="196"/>
      <c r="NZN116" s="197"/>
      <c r="NZO116" s="209"/>
      <c r="NZP116" s="209"/>
      <c r="NZQ116" s="210"/>
      <c r="NZR116" s="210"/>
      <c r="NZS116" s="211"/>
      <c r="NZT116" s="210"/>
      <c r="NZU116" s="210"/>
      <c r="NZV116" s="210"/>
      <c r="NZW116" s="210"/>
      <c r="NZX116" s="212"/>
      <c r="NZY116" s="196"/>
      <c r="NZZ116" s="197"/>
      <c r="OAA116" s="209"/>
      <c r="OAB116" s="209"/>
      <c r="OAC116" s="210"/>
      <c r="OAD116" s="210"/>
      <c r="OAE116" s="211"/>
      <c r="OAF116" s="210"/>
      <c r="OAG116" s="210"/>
      <c r="OAH116" s="210"/>
      <c r="OAI116" s="210"/>
      <c r="OAJ116" s="212"/>
      <c r="OAK116" s="196"/>
      <c r="OAL116" s="197"/>
      <c r="OAM116" s="209"/>
      <c r="OAN116" s="209"/>
      <c r="OAO116" s="210"/>
      <c r="OAP116" s="210"/>
      <c r="OAQ116" s="211"/>
      <c r="OAR116" s="210"/>
      <c r="OAS116" s="210"/>
      <c r="OAT116" s="210"/>
      <c r="OAU116" s="210"/>
      <c r="OAV116" s="212"/>
      <c r="OAW116" s="196"/>
      <c r="OAX116" s="197"/>
      <c r="OAY116" s="209"/>
      <c r="OAZ116" s="209"/>
      <c r="OBA116" s="210"/>
      <c r="OBB116" s="210"/>
      <c r="OBC116" s="211"/>
      <c r="OBD116" s="210"/>
      <c r="OBE116" s="210"/>
      <c r="OBF116" s="210"/>
      <c r="OBG116" s="210"/>
      <c r="OBH116" s="212"/>
      <c r="OBI116" s="196"/>
      <c r="OBJ116" s="197"/>
      <c r="OBK116" s="209"/>
      <c r="OBL116" s="209"/>
      <c r="OBM116" s="210"/>
      <c r="OBN116" s="210"/>
      <c r="OBO116" s="211"/>
      <c r="OBP116" s="210"/>
      <c r="OBQ116" s="210"/>
      <c r="OBR116" s="210"/>
      <c r="OBS116" s="210"/>
      <c r="OBT116" s="212"/>
      <c r="OBU116" s="196"/>
      <c r="OBV116" s="197"/>
      <c r="OBW116" s="209"/>
      <c r="OBX116" s="209"/>
      <c r="OBY116" s="210"/>
      <c r="OBZ116" s="210"/>
      <c r="OCA116" s="211"/>
      <c r="OCB116" s="210"/>
      <c r="OCC116" s="210"/>
      <c r="OCD116" s="210"/>
      <c r="OCE116" s="210"/>
      <c r="OCF116" s="212"/>
      <c r="OCG116" s="196"/>
      <c r="OCH116" s="197"/>
      <c r="OCI116" s="209"/>
      <c r="OCJ116" s="209"/>
      <c r="OCK116" s="210"/>
      <c r="OCL116" s="210"/>
      <c r="OCM116" s="211"/>
      <c r="OCN116" s="210"/>
      <c r="OCO116" s="210"/>
      <c r="OCP116" s="210"/>
      <c r="OCQ116" s="210"/>
      <c r="OCR116" s="212"/>
      <c r="OCS116" s="196"/>
      <c r="OCT116" s="197"/>
      <c r="OCU116" s="209"/>
      <c r="OCV116" s="209"/>
      <c r="OCW116" s="210"/>
      <c r="OCX116" s="210"/>
      <c r="OCY116" s="211"/>
      <c r="OCZ116" s="210"/>
      <c r="ODA116" s="210"/>
      <c r="ODB116" s="210"/>
      <c r="ODC116" s="210"/>
      <c r="ODD116" s="212"/>
      <c r="ODE116" s="196"/>
      <c r="ODF116" s="197"/>
      <c r="ODG116" s="209"/>
      <c r="ODH116" s="209"/>
      <c r="ODI116" s="210"/>
      <c r="ODJ116" s="210"/>
      <c r="ODK116" s="211"/>
      <c r="ODL116" s="210"/>
      <c r="ODM116" s="210"/>
      <c r="ODN116" s="210"/>
      <c r="ODO116" s="210"/>
      <c r="ODP116" s="212"/>
      <c r="ODQ116" s="196"/>
      <c r="ODR116" s="197"/>
      <c r="ODS116" s="209"/>
      <c r="ODT116" s="209"/>
      <c r="ODU116" s="210"/>
      <c r="ODV116" s="210"/>
      <c r="ODW116" s="211"/>
      <c r="ODX116" s="210"/>
      <c r="ODY116" s="210"/>
      <c r="ODZ116" s="210"/>
      <c r="OEA116" s="210"/>
      <c r="OEB116" s="212"/>
      <c r="OEC116" s="196"/>
      <c r="OED116" s="197"/>
      <c r="OEE116" s="209"/>
      <c r="OEF116" s="209"/>
      <c r="OEG116" s="210"/>
      <c r="OEH116" s="210"/>
      <c r="OEI116" s="211"/>
      <c r="OEJ116" s="210"/>
      <c r="OEK116" s="210"/>
      <c r="OEL116" s="210"/>
      <c r="OEM116" s="210"/>
      <c r="OEN116" s="212"/>
      <c r="OEO116" s="196"/>
      <c r="OEP116" s="197"/>
      <c r="OEQ116" s="209"/>
      <c r="OER116" s="209"/>
      <c r="OES116" s="210"/>
      <c r="OET116" s="210"/>
      <c r="OEU116" s="211"/>
      <c r="OEV116" s="210"/>
      <c r="OEW116" s="210"/>
      <c r="OEX116" s="210"/>
      <c r="OEY116" s="210"/>
      <c r="OEZ116" s="212"/>
      <c r="OFA116" s="196"/>
      <c r="OFB116" s="197"/>
      <c r="OFC116" s="209"/>
      <c r="OFD116" s="209"/>
      <c r="OFE116" s="210"/>
      <c r="OFF116" s="210"/>
      <c r="OFG116" s="211"/>
      <c r="OFH116" s="210"/>
      <c r="OFI116" s="210"/>
      <c r="OFJ116" s="210"/>
      <c r="OFK116" s="210"/>
      <c r="OFL116" s="212"/>
      <c r="OFM116" s="196"/>
      <c r="OFN116" s="197"/>
      <c r="OFO116" s="209"/>
      <c r="OFP116" s="209"/>
      <c r="OFQ116" s="210"/>
      <c r="OFR116" s="210"/>
      <c r="OFS116" s="211"/>
      <c r="OFT116" s="210"/>
      <c r="OFU116" s="210"/>
      <c r="OFV116" s="210"/>
      <c r="OFW116" s="210"/>
      <c r="OFX116" s="212"/>
      <c r="OFY116" s="196"/>
      <c r="OFZ116" s="197"/>
      <c r="OGA116" s="209"/>
      <c r="OGB116" s="209"/>
      <c r="OGC116" s="210"/>
      <c r="OGD116" s="210"/>
      <c r="OGE116" s="211"/>
      <c r="OGF116" s="210"/>
      <c r="OGG116" s="210"/>
      <c r="OGH116" s="210"/>
      <c r="OGI116" s="210"/>
      <c r="OGJ116" s="212"/>
      <c r="OGK116" s="196"/>
      <c r="OGL116" s="197"/>
      <c r="OGM116" s="209"/>
      <c r="OGN116" s="209"/>
      <c r="OGO116" s="210"/>
      <c r="OGP116" s="210"/>
      <c r="OGQ116" s="211"/>
      <c r="OGR116" s="210"/>
      <c r="OGS116" s="210"/>
      <c r="OGT116" s="210"/>
      <c r="OGU116" s="210"/>
      <c r="OGV116" s="212"/>
      <c r="OGW116" s="196"/>
      <c r="OGX116" s="197"/>
      <c r="OGY116" s="209"/>
      <c r="OGZ116" s="209"/>
      <c r="OHA116" s="210"/>
      <c r="OHB116" s="210"/>
      <c r="OHC116" s="211"/>
      <c r="OHD116" s="210"/>
      <c r="OHE116" s="210"/>
      <c r="OHF116" s="210"/>
      <c r="OHG116" s="210"/>
      <c r="OHH116" s="212"/>
      <c r="OHI116" s="196"/>
      <c r="OHJ116" s="197"/>
      <c r="OHK116" s="209"/>
      <c r="OHL116" s="209"/>
      <c r="OHM116" s="210"/>
      <c r="OHN116" s="210"/>
      <c r="OHO116" s="211"/>
      <c r="OHP116" s="210"/>
      <c r="OHQ116" s="210"/>
      <c r="OHR116" s="210"/>
      <c r="OHS116" s="210"/>
      <c r="OHT116" s="212"/>
      <c r="OHU116" s="196"/>
      <c r="OHV116" s="197"/>
      <c r="OHW116" s="209"/>
      <c r="OHX116" s="209"/>
      <c r="OHY116" s="210"/>
      <c r="OHZ116" s="210"/>
      <c r="OIA116" s="211"/>
      <c r="OIB116" s="210"/>
      <c r="OIC116" s="210"/>
      <c r="OID116" s="210"/>
      <c r="OIE116" s="210"/>
      <c r="OIF116" s="212"/>
      <c r="OIG116" s="196"/>
      <c r="OIH116" s="197"/>
      <c r="OII116" s="209"/>
      <c r="OIJ116" s="209"/>
      <c r="OIK116" s="210"/>
      <c r="OIL116" s="210"/>
      <c r="OIM116" s="211"/>
      <c r="OIN116" s="210"/>
      <c r="OIO116" s="210"/>
      <c r="OIP116" s="210"/>
      <c r="OIQ116" s="210"/>
      <c r="OIR116" s="212"/>
      <c r="OIS116" s="196"/>
      <c r="OIT116" s="197"/>
      <c r="OIU116" s="209"/>
      <c r="OIV116" s="209"/>
      <c r="OIW116" s="210"/>
      <c r="OIX116" s="210"/>
      <c r="OIY116" s="211"/>
      <c r="OIZ116" s="210"/>
      <c r="OJA116" s="210"/>
      <c r="OJB116" s="210"/>
      <c r="OJC116" s="210"/>
      <c r="OJD116" s="212"/>
      <c r="OJE116" s="196"/>
      <c r="OJF116" s="197"/>
      <c r="OJG116" s="209"/>
      <c r="OJH116" s="209"/>
      <c r="OJI116" s="210"/>
      <c r="OJJ116" s="210"/>
      <c r="OJK116" s="211"/>
      <c r="OJL116" s="210"/>
      <c r="OJM116" s="210"/>
      <c r="OJN116" s="210"/>
      <c r="OJO116" s="210"/>
      <c r="OJP116" s="212"/>
      <c r="OJQ116" s="196"/>
      <c r="OJR116" s="197"/>
      <c r="OJS116" s="209"/>
      <c r="OJT116" s="209"/>
      <c r="OJU116" s="210"/>
      <c r="OJV116" s="210"/>
      <c r="OJW116" s="211"/>
      <c r="OJX116" s="210"/>
      <c r="OJY116" s="210"/>
      <c r="OJZ116" s="210"/>
      <c r="OKA116" s="210"/>
      <c r="OKB116" s="212"/>
      <c r="OKC116" s="196"/>
      <c r="OKD116" s="197"/>
      <c r="OKE116" s="209"/>
      <c r="OKF116" s="209"/>
      <c r="OKG116" s="210"/>
      <c r="OKH116" s="210"/>
      <c r="OKI116" s="211"/>
      <c r="OKJ116" s="210"/>
      <c r="OKK116" s="210"/>
      <c r="OKL116" s="210"/>
      <c r="OKM116" s="210"/>
      <c r="OKN116" s="212"/>
      <c r="OKO116" s="196"/>
      <c r="OKP116" s="197"/>
      <c r="OKQ116" s="209"/>
      <c r="OKR116" s="209"/>
      <c r="OKS116" s="210"/>
      <c r="OKT116" s="210"/>
      <c r="OKU116" s="211"/>
      <c r="OKV116" s="210"/>
      <c r="OKW116" s="210"/>
      <c r="OKX116" s="210"/>
      <c r="OKY116" s="210"/>
      <c r="OKZ116" s="212"/>
      <c r="OLA116" s="196"/>
      <c r="OLB116" s="197"/>
      <c r="OLC116" s="209"/>
      <c r="OLD116" s="209"/>
      <c r="OLE116" s="210"/>
      <c r="OLF116" s="210"/>
      <c r="OLG116" s="211"/>
      <c r="OLH116" s="210"/>
      <c r="OLI116" s="210"/>
      <c r="OLJ116" s="210"/>
      <c r="OLK116" s="210"/>
      <c r="OLL116" s="212"/>
      <c r="OLM116" s="196"/>
      <c r="OLN116" s="197"/>
      <c r="OLO116" s="209"/>
      <c r="OLP116" s="209"/>
      <c r="OLQ116" s="210"/>
      <c r="OLR116" s="210"/>
      <c r="OLS116" s="211"/>
      <c r="OLT116" s="210"/>
      <c r="OLU116" s="210"/>
      <c r="OLV116" s="210"/>
      <c r="OLW116" s="210"/>
      <c r="OLX116" s="212"/>
      <c r="OLY116" s="196"/>
      <c r="OLZ116" s="197"/>
      <c r="OMA116" s="209"/>
      <c r="OMB116" s="209"/>
      <c r="OMC116" s="210"/>
      <c r="OMD116" s="210"/>
      <c r="OME116" s="211"/>
      <c r="OMF116" s="210"/>
      <c r="OMG116" s="210"/>
      <c r="OMH116" s="210"/>
      <c r="OMI116" s="210"/>
      <c r="OMJ116" s="212"/>
      <c r="OMK116" s="196"/>
      <c r="OML116" s="197"/>
      <c r="OMM116" s="209"/>
      <c r="OMN116" s="209"/>
      <c r="OMO116" s="210"/>
      <c r="OMP116" s="210"/>
      <c r="OMQ116" s="211"/>
      <c r="OMR116" s="210"/>
      <c r="OMS116" s="210"/>
      <c r="OMT116" s="210"/>
      <c r="OMU116" s="210"/>
      <c r="OMV116" s="212"/>
      <c r="OMW116" s="196"/>
      <c r="OMX116" s="197"/>
      <c r="OMY116" s="209"/>
      <c r="OMZ116" s="209"/>
      <c r="ONA116" s="210"/>
      <c r="ONB116" s="210"/>
      <c r="ONC116" s="211"/>
      <c r="OND116" s="210"/>
      <c r="ONE116" s="210"/>
      <c r="ONF116" s="210"/>
      <c r="ONG116" s="210"/>
      <c r="ONH116" s="212"/>
      <c r="ONI116" s="196"/>
      <c r="ONJ116" s="197"/>
      <c r="ONK116" s="209"/>
      <c r="ONL116" s="209"/>
      <c r="ONM116" s="210"/>
      <c r="ONN116" s="210"/>
      <c r="ONO116" s="211"/>
      <c r="ONP116" s="210"/>
      <c r="ONQ116" s="210"/>
      <c r="ONR116" s="210"/>
      <c r="ONS116" s="210"/>
      <c r="ONT116" s="212"/>
      <c r="ONU116" s="196"/>
      <c r="ONV116" s="197"/>
      <c r="ONW116" s="209"/>
      <c r="ONX116" s="209"/>
      <c r="ONY116" s="210"/>
      <c r="ONZ116" s="210"/>
      <c r="OOA116" s="211"/>
      <c r="OOB116" s="210"/>
      <c r="OOC116" s="210"/>
      <c r="OOD116" s="210"/>
      <c r="OOE116" s="210"/>
      <c r="OOF116" s="212"/>
      <c r="OOG116" s="196"/>
      <c r="OOH116" s="197"/>
      <c r="OOI116" s="209"/>
      <c r="OOJ116" s="209"/>
      <c r="OOK116" s="210"/>
      <c r="OOL116" s="210"/>
      <c r="OOM116" s="211"/>
      <c r="OON116" s="210"/>
      <c r="OOO116" s="210"/>
      <c r="OOP116" s="210"/>
      <c r="OOQ116" s="210"/>
      <c r="OOR116" s="212"/>
      <c r="OOS116" s="196"/>
      <c r="OOT116" s="197"/>
      <c r="OOU116" s="209"/>
      <c r="OOV116" s="209"/>
      <c r="OOW116" s="210"/>
      <c r="OOX116" s="210"/>
      <c r="OOY116" s="211"/>
      <c r="OOZ116" s="210"/>
      <c r="OPA116" s="210"/>
      <c r="OPB116" s="210"/>
      <c r="OPC116" s="210"/>
      <c r="OPD116" s="212"/>
      <c r="OPE116" s="196"/>
      <c r="OPF116" s="197"/>
      <c r="OPG116" s="209"/>
      <c r="OPH116" s="209"/>
      <c r="OPI116" s="210"/>
      <c r="OPJ116" s="210"/>
      <c r="OPK116" s="211"/>
      <c r="OPL116" s="210"/>
      <c r="OPM116" s="210"/>
      <c r="OPN116" s="210"/>
      <c r="OPO116" s="210"/>
      <c r="OPP116" s="212"/>
      <c r="OPQ116" s="196"/>
      <c r="OPR116" s="197"/>
      <c r="OPS116" s="209"/>
      <c r="OPT116" s="209"/>
      <c r="OPU116" s="210"/>
      <c r="OPV116" s="210"/>
      <c r="OPW116" s="211"/>
      <c r="OPX116" s="210"/>
      <c r="OPY116" s="210"/>
      <c r="OPZ116" s="210"/>
      <c r="OQA116" s="210"/>
      <c r="OQB116" s="212"/>
      <c r="OQC116" s="196"/>
      <c r="OQD116" s="197"/>
      <c r="OQE116" s="209"/>
      <c r="OQF116" s="209"/>
      <c r="OQG116" s="210"/>
      <c r="OQH116" s="210"/>
      <c r="OQI116" s="211"/>
      <c r="OQJ116" s="210"/>
      <c r="OQK116" s="210"/>
      <c r="OQL116" s="210"/>
      <c r="OQM116" s="210"/>
      <c r="OQN116" s="212"/>
      <c r="OQO116" s="196"/>
      <c r="OQP116" s="197"/>
      <c r="OQQ116" s="209"/>
      <c r="OQR116" s="209"/>
      <c r="OQS116" s="210"/>
      <c r="OQT116" s="210"/>
      <c r="OQU116" s="211"/>
      <c r="OQV116" s="210"/>
      <c r="OQW116" s="210"/>
      <c r="OQX116" s="210"/>
      <c r="OQY116" s="210"/>
      <c r="OQZ116" s="212"/>
      <c r="ORA116" s="196"/>
      <c r="ORB116" s="197"/>
      <c r="ORC116" s="209"/>
      <c r="ORD116" s="209"/>
      <c r="ORE116" s="210"/>
      <c r="ORF116" s="210"/>
      <c r="ORG116" s="211"/>
      <c r="ORH116" s="210"/>
      <c r="ORI116" s="210"/>
      <c r="ORJ116" s="210"/>
      <c r="ORK116" s="210"/>
      <c r="ORL116" s="212"/>
      <c r="ORM116" s="196"/>
      <c r="ORN116" s="197"/>
      <c r="ORO116" s="209"/>
      <c r="ORP116" s="209"/>
      <c r="ORQ116" s="210"/>
      <c r="ORR116" s="210"/>
      <c r="ORS116" s="211"/>
      <c r="ORT116" s="210"/>
      <c r="ORU116" s="210"/>
      <c r="ORV116" s="210"/>
      <c r="ORW116" s="210"/>
      <c r="ORX116" s="212"/>
      <c r="ORY116" s="196"/>
      <c r="ORZ116" s="197"/>
      <c r="OSA116" s="209"/>
      <c r="OSB116" s="209"/>
      <c r="OSC116" s="210"/>
      <c r="OSD116" s="210"/>
      <c r="OSE116" s="211"/>
      <c r="OSF116" s="210"/>
      <c r="OSG116" s="210"/>
      <c r="OSH116" s="210"/>
      <c r="OSI116" s="210"/>
      <c r="OSJ116" s="212"/>
      <c r="OSK116" s="196"/>
      <c r="OSL116" s="197"/>
      <c r="OSM116" s="209"/>
      <c r="OSN116" s="209"/>
      <c r="OSO116" s="210"/>
      <c r="OSP116" s="210"/>
      <c r="OSQ116" s="211"/>
      <c r="OSR116" s="210"/>
      <c r="OSS116" s="210"/>
      <c r="OST116" s="210"/>
      <c r="OSU116" s="210"/>
      <c r="OSV116" s="212"/>
      <c r="OSW116" s="196"/>
      <c r="OSX116" s="197"/>
      <c r="OSY116" s="209"/>
      <c r="OSZ116" s="209"/>
      <c r="OTA116" s="210"/>
      <c r="OTB116" s="210"/>
      <c r="OTC116" s="211"/>
      <c r="OTD116" s="210"/>
      <c r="OTE116" s="210"/>
      <c r="OTF116" s="210"/>
      <c r="OTG116" s="210"/>
      <c r="OTH116" s="212"/>
      <c r="OTI116" s="196"/>
      <c r="OTJ116" s="197"/>
      <c r="OTK116" s="209"/>
      <c r="OTL116" s="209"/>
      <c r="OTM116" s="210"/>
      <c r="OTN116" s="210"/>
      <c r="OTO116" s="211"/>
      <c r="OTP116" s="210"/>
      <c r="OTQ116" s="210"/>
      <c r="OTR116" s="210"/>
      <c r="OTS116" s="210"/>
      <c r="OTT116" s="212"/>
      <c r="OTU116" s="196"/>
      <c r="OTV116" s="197"/>
      <c r="OTW116" s="209"/>
      <c r="OTX116" s="209"/>
      <c r="OTY116" s="210"/>
      <c r="OTZ116" s="210"/>
      <c r="OUA116" s="211"/>
      <c r="OUB116" s="210"/>
      <c r="OUC116" s="210"/>
      <c r="OUD116" s="210"/>
      <c r="OUE116" s="210"/>
      <c r="OUF116" s="212"/>
      <c r="OUG116" s="196"/>
      <c r="OUH116" s="197"/>
      <c r="OUI116" s="209"/>
      <c r="OUJ116" s="209"/>
      <c r="OUK116" s="210"/>
      <c r="OUL116" s="210"/>
      <c r="OUM116" s="211"/>
      <c r="OUN116" s="210"/>
      <c r="OUO116" s="210"/>
      <c r="OUP116" s="210"/>
      <c r="OUQ116" s="210"/>
      <c r="OUR116" s="212"/>
      <c r="OUS116" s="196"/>
      <c r="OUT116" s="197"/>
      <c r="OUU116" s="209"/>
      <c r="OUV116" s="209"/>
      <c r="OUW116" s="210"/>
      <c r="OUX116" s="210"/>
      <c r="OUY116" s="211"/>
      <c r="OUZ116" s="210"/>
      <c r="OVA116" s="210"/>
      <c r="OVB116" s="210"/>
      <c r="OVC116" s="210"/>
      <c r="OVD116" s="212"/>
      <c r="OVE116" s="196"/>
      <c r="OVF116" s="197"/>
      <c r="OVG116" s="209"/>
      <c r="OVH116" s="209"/>
      <c r="OVI116" s="210"/>
      <c r="OVJ116" s="210"/>
      <c r="OVK116" s="211"/>
      <c r="OVL116" s="210"/>
      <c r="OVM116" s="210"/>
      <c r="OVN116" s="210"/>
      <c r="OVO116" s="210"/>
      <c r="OVP116" s="212"/>
      <c r="OVQ116" s="196"/>
      <c r="OVR116" s="197"/>
      <c r="OVS116" s="209"/>
      <c r="OVT116" s="209"/>
      <c r="OVU116" s="210"/>
      <c r="OVV116" s="210"/>
      <c r="OVW116" s="211"/>
      <c r="OVX116" s="210"/>
      <c r="OVY116" s="210"/>
      <c r="OVZ116" s="210"/>
      <c r="OWA116" s="210"/>
      <c r="OWB116" s="212"/>
      <c r="OWC116" s="196"/>
      <c r="OWD116" s="197"/>
      <c r="OWE116" s="209"/>
      <c r="OWF116" s="209"/>
      <c r="OWG116" s="210"/>
      <c r="OWH116" s="210"/>
      <c r="OWI116" s="211"/>
      <c r="OWJ116" s="210"/>
      <c r="OWK116" s="210"/>
      <c r="OWL116" s="210"/>
      <c r="OWM116" s="210"/>
      <c r="OWN116" s="212"/>
      <c r="OWO116" s="196"/>
      <c r="OWP116" s="197"/>
      <c r="OWQ116" s="209"/>
      <c r="OWR116" s="209"/>
      <c r="OWS116" s="210"/>
      <c r="OWT116" s="210"/>
      <c r="OWU116" s="211"/>
      <c r="OWV116" s="210"/>
      <c r="OWW116" s="210"/>
      <c r="OWX116" s="210"/>
      <c r="OWY116" s="210"/>
      <c r="OWZ116" s="212"/>
      <c r="OXA116" s="196"/>
      <c r="OXB116" s="197"/>
      <c r="OXC116" s="209"/>
      <c r="OXD116" s="209"/>
      <c r="OXE116" s="210"/>
      <c r="OXF116" s="210"/>
      <c r="OXG116" s="211"/>
      <c r="OXH116" s="210"/>
      <c r="OXI116" s="210"/>
      <c r="OXJ116" s="210"/>
      <c r="OXK116" s="210"/>
      <c r="OXL116" s="212"/>
      <c r="OXM116" s="196"/>
      <c r="OXN116" s="197"/>
      <c r="OXO116" s="209"/>
      <c r="OXP116" s="209"/>
      <c r="OXQ116" s="210"/>
      <c r="OXR116" s="210"/>
      <c r="OXS116" s="211"/>
      <c r="OXT116" s="210"/>
      <c r="OXU116" s="210"/>
      <c r="OXV116" s="210"/>
      <c r="OXW116" s="210"/>
      <c r="OXX116" s="212"/>
      <c r="OXY116" s="196"/>
      <c r="OXZ116" s="197"/>
      <c r="OYA116" s="209"/>
      <c r="OYB116" s="209"/>
      <c r="OYC116" s="210"/>
      <c r="OYD116" s="210"/>
      <c r="OYE116" s="211"/>
      <c r="OYF116" s="210"/>
      <c r="OYG116" s="210"/>
      <c r="OYH116" s="210"/>
      <c r="OYI116" s="210"/>
      <c r="OYJ116" s="212"/>
      <c r="OYK116" s="196"/>
      <c r="OYL116" s="197"/>
      <c r="OYM116" s="209"/>
      <c r="OYN116" s="209"/>
      <c r="OYO116" s="210"/>
      <c r="OYP116" s="210"/>
      <c r="OYQ116" s="211"/>
      <c r="OYR116" s="210"/>
      <c r="OYS116" s="210"/>
      <c r="OYT116" s="210"/>
      <c r="OYU116" s="210"/>
      <c r="OYV116" s="212"/>
      <c r="OYW116" s="196"/>
      <c r="OYX116" s="197"/>
      <c r="OYY116" s="209"/>
      <c r="OYZ116" s="209"/>
      <c r="OZA116" s="210"/>
      <c r="OZB116" s="210"/>
      <c r="OZC116" s="211"/>
      <c r="OZD116" s="210"/>
      <c r="OZE116" s="210"/>
      <c r="OZF116" s="210"/>
      <c r="OZG116" s="210"/>
      <c r="OZH116" s="212"/>
      <c r="OZI116" s="196"/>
      <c r="OZJ116" s="197"/>
      <c r="OZK116" s="209"/>
      <c r="OZL116" s="209"/>
      <c r="OZM116" s="210"/>
      <c r="OZN116" s="210"/>
      <c r="OZO116" s="211"/>
      <c r="OZP116" s="210"/>
      <c r="OZQ116" s="210"/>
      <c r="OZR116" s="210"/>
      <c r="OZS116" s="210"/>
      <c r="OZT116" s="212"/>
      <c r="OZU116" s="196"/>
      <c r="OZV116" s="197"/>
      <c r="OZW116" s="209"/>
      <c r="OZX116" s="209"/>
      <c r="OZY116" s="210"/>
      <c r="OZZ116" s="210"/>
      <c r="PAA116" s="211"/>
      <c r="PAB116" s="210"/>
      <c r="PAC116" s="210"/>
      <c r="PAD116" s="210"/>
      <c r="PAE116" s="210"/>
      <c r="PAF116" s="212"/>
      <c r="PAG116" s="196"/>
      <c r="PAH116" s="197"/>
      <c r="PAI116" s="209"/>
      <c r="PAJ116" s="209"/>
      <c r="PAK116" s="210"/>
      <c r="PAL116" s="210"/>
      <c r="PAM116" s="211"/>
      <c r="PAN116" s="210"/>
      <c r="PAO116" s="210"/>
      <c r="PAP116" s="210"/>
      <c r="PAQ116" s="210"/>
      <c r="PAR116" s="212"/>
      <c r="PAS116" s="196"/>
      <c r="PAT116" s="197"/>
      <c r="PAU116" s="209"/>
      <c r="PAV116" s="209"/>
      <c r="PAW116" s="210"/>
      <c r="PAX116" s="210"/>
      <c r="PAY116" s="211"/>
      <c r="PAZ116" s="210"/>
      <c r="PBA116" s="210"/>
      <c r="PBB116" s="210"/>
      <c r="PBC116" s="210"/>
      <c r="PBD116" s="212"/>
      <c r="PBE116" s="196"/>
      <c r="PBF116" s="197"/>
      <c r="PBG116" s="209"/>
      <c r="PBH116" s="209"/>
      <c r="PBI116" s="210"/>
      <c r="PBJ116" s="210"/>
      <c r="PBK116" s="211"/>
      <c r="PBL116" s="210"/>
      <c r="PBM116" s="210"/>
      <c r="PBN116" s="210"/>
      <c r="PBO116" s="210"/>
      <c r="PBP116" s="212"/>
      <c r="PBQ116" s="196"/>
      <c r="PBR116" s="197"/>
      <c r="PBS116" s="209"/>
      <c r="PBT116" s="209"/>
      <c r="PBU116" s="210"/>
      <c r="PBV116" s="210"/>
      <c r="PBW116" s="211"/>
      <c r="PBX116" s="210"/>
      <c r="PBY116" s="210"/>
      <c r="PBZ116" s="210"/>
      <c r="PCA116" s="210"/>
      <c r="PCB116" s="212"/>
      <c r="PCC116" s="196"/>
      <c r="PCD116" s="197"/>
      <c r="PCE116" s="209"/>
      <c r="PCF116" s="209"/>
      <c r="PCG116" s="210"/>
      <c r="PCH116" s="210"/>
      <c r="PCI116" s="211"/>
      <c r="PCJ116" s="210"/>
      <c r="PCK116" s="210"/>
      <c r="PCL116" s="210"/>
      <c r="PCM116" s="210"/>
      <c r="PCN116" s="212"/>
      <c r="PCO116" s="196"/>
      <c r="PCP116" s="197"/>
      <c r="PCQ116" s="209"/>
      <c r="PCR116" s="209"/>
      <c r="PCS116" s="210"/>
      <c r="PCT116" s="210"/>
      <c r="PCU116" s="211"/>
      <c r="PCV116" s="210"/>
      <c r="PCW116" s="210"/>
      <c r="PCX116" s="210"/>
      <c r="PCY116" s="210"/>
      <c r="PCZ116" s="212"/>
      <c r="PDA116" s="196"/>
      <c r="PDB116" s="197"/>
      <c r="PDC116" s="209"/>
      <c r="PDD116" s="209"/>
      <c r="PDE116" s="210"/>
      <c r="PDF116" s="210"/>
      <c r="PDG116" s="211"/>
      <c r="PDH116" s="210"/>
      <c r="PDI116" s="210"/>
      <c r="PDJ116" s="210"/>
      <c r="PDK116" s="210"/>
      <c r="PDL116" s="212"/>
      <c r="PDM116" s="196"/>
      <c r="PDN116" s="197"/>
      <c r="PDO116" s="209"/>
      <c r="PDP116" s="209"/>
      <c r="PDQ116" s="210"/>
      <c r="PDR116" s="210"/>
      <c r="PDS116" s="211"/>
      <c r="PDT116" s="210"/>
      <c r="PDU116" s="210"/>
      <c r="PDV116" s="210"/>
      <c r="PDW116" s="210"/>
      <c r="PDX116" s="212"/>
      <c r="PDY116" s="196"/>
      <c r="PDZ116" s="197"/>
      <c r="PEA116" s="209"/>
      <c r="PEB116" s="209"/>
      <c r="PEC116" s="210"/>
      <c r="PED116" s="210"/>
      <c r="PEE116" s="211"/>
      <c r="PEF116" s="210"/>
      <c r="PEG116" s="210"/>
      <c r="PEH116" s="210"/>
      <c r="PEI116" s="210"/>
      <c r="PEJ116" s="212"/>
      <c r="PEK116" s="196"/>
      <c r="PEL116" s="197"/>
      <c r="PEM116" s="209"/>
      <c r="PEN116" s="209"/>
      <c r="PEO116" s="210"/>
      <c r="PEP116" s="210"/>
      <c r="PEQ116" s="211"/>
      <c r="PER116" s="210"/>
      <c r="PES116" s="210"/>
      <c r="PET116" s="210"/>
      <c r="PEU116" s="210"/>
      <c r="PEV116" s="212"/>
      <c r="PEW116" s="196"/>
      <c r="PEX116" s="197"/>
      <c r="PEY116" s="209"/>
      <c r="PEZ116" s="209"/>
      <c r="PFA116" s="210"/>
      <c r="PFB116" s="210"/>
      <c r="PFC116" s="211"/>
      <c r="PFD116" s="210"/>
      <c r="PFE116" s="210"/>
      <c r="PFF116" s="210"/>
      <c r="PFG116" s="210"/>
      <c r="PFH116" s="212"/>
      <c r="PFI116" s="196"/>
      <c r="PFJ116" s="197"/>
      <c r="PFK116" s="209"/>
      <c r="PFL116" s="209"/>
      <c r="PFM116" s="210"/>
      <c r="PFN116" s="210"/>
      <c r="PFO116" s="211"/>
      <c r="PFP116" s="210"/>
      <c r="PFQ116" s="210"/>
      <c r="PFR116" s="210"/>
      <c r="PFS116" s="210"/>
      <c r="PFT116" s="212"/>
      <c r="PFU116" s="196"/>
      <c r="PFV116" s="197"/>
      <c r="PFW116" s="209"/>
      <c r="PFX116" s="209"/>
      <c r="PFY116" s="210"/>
      <c r="PFZ116" s="210"/>
      <c r="PGA116" s="211"/>
      <c r="PGB116" s="210"/>
      <c r="PGC116" s="210"/>
      <c r="PGD116" s="210"/>
      <c r="PGE116" s="210"/>
      <c r="PGF116" s="212"/>
      <c r="PGG116" s="196"/>
      <c r="PGH116" s="197"/>
      <c r="PGI116" s="209"/>
      <c r="PGJ116" s="209"/>
      <c r="PGK116" s="210"/>
      <c r="PGL116" s="210"/>
      <c r="PGM116" s="211"/>
      <c r="PGN116" s="210"/>
      <c r="PGO116" s="210"/>
      <c r="PGP116" s="210"/>
      <c r="PGQ116" s="210"/>
      <c r="PGR116" s="212"/>
      <c r="PGS116" s="196"/>
      <c r="PGT116" s="197"/>
      <c r="PGU116" s="209"/>
      <c r="PGV116" s="209"/>
      <c r="PGW116" s="210"/>
      <c r="PGX116" s="210"/>
      <c r="PGY116" s="211"/>
      <c r="PGZ116" s="210"/>
      <c r="PHA116" s="210"/>
      <c r="PHB116" s="210"/>
      <c r="PHC116" s="210"/>
      <c r="PHD116" s="212"/>
      <c r="PHE116" s="196"/>
      <c r="PHF116" s="197"/>
      <c r="PHG116" s="209"/>
      <c r="PHH116" s="209"/>
      <c r="PHI116" s="210"/>
      <c r="PHJ116" s="210"/>
      <c r="PHK116" s="211"/>
      <c r="PHL116" s="210"/>
      <c r="PHM116" s="210"/>
      <c r="PHN116" s="210"/>
      <c r="PHO116" s="210"/>
      <c r="PHP116" s="212"/>
      <c r="PHQ116" s="196"/>
      <c r="PHR116" s="197"/>
      <c r="PHS116" s="209"/>
      <c r="PHT116" s="209"/>
      <c r="PHU116" s="210"/>
      <c r="PHV116" s="210"/>
      <c r="PHW116" s="211"/>
      <c r="PHX116" s="210"/>
      <c r="PHY116" s="210"/>
      <c r="PHZ116" s="210"/>
      <c r="PIA116" s="210"/>
      <c r="PIB116" s="212"/>
      <c r="PIC116" s="196"/>
      <c r="PID116" s="197"/>
      <c r="PIE116" s="209"/>
      <c r="PIF116" s="209"/>
      <c r="PIG116" s="210"/>
      <c r="PIH116" s="210"/>
      <c r="PII116" s="211"/>
      <c r="PIJ116" s="210"/>
      <c r="PIK116" s="210"/>
      <c r="PIL116" s="210"/>
      <c r="PIM116" s="210"/>
      <c r="PIN116" s="212"/>
      <c r="PIO116" s="196"/>
      <c r="PIP116" s="197"/>
      <c r="PIQ116" s="209"/>
      <c r="PIR116" s="209"/>
      <c r="PIS116" s="210"/>
      <c r="PIT116" s="210"/>
      <c r="PIU116" s="211"/>
      <c r="PIV116" s="210"/>
      <c r="PIW116" s="210"/>
      <c r="PIX116" s="210"/>
      <c r="PIY116" s="210"/>
      <c r="PIZ116" s="212"/>
      <c r="PJA116" s="196"/>
      <c r="PJB116" s="197"/>
      <c r="PJC116" s="209"/>
      <c r="PJD116" s="209"/>
      <c r="PJE116" s="210"/>
      <c r="PJF116" s="210"/>
      <c r="PJG116" s="211"/>
      <c r="PJH116" s="210"/>
      <c r="PJI116" s="210"/>
      <c r="PJJ116" s="210"/>
      <c r="PJK116" s="210"/>
      <c r="PJL116" s="212"/>
      <c r="PJM116" s="196"/>
      <c r="PJN116" s="197"/>
      <c r="PJO116" s="209"/>
      <c r="PJP116" s="209"/>
      <c r="PJQ116" s="210"/>
      <c r="PJR116" s="210"/>
      <c r="PJS116" s="211"/>
      <c r="PJT116" s="210"/>
      <c r="PJU116" s="210"/>
      <c r="PJV116" s="210"/>
      <c r="PJW116" s="210"/>
      <c r="PJX116" s="212"/>
      <c r="PJY116" s="196"/>
      <c r="PJZ116" s="197"/>
      <c r="PKA116" s="209"/>
      <c r="PKB116" s="209"/>
      <c r="PKC116" s="210"/>
      <c r="PKD116" s="210"/>
      <c r="PKE116" s="211"/>
      <c r="PKF116" s="210"/>
      <c r="PKG116" s="210"/>
      <c r="PKH116" s="210"/>
      <c r="PKI116" s="210"/>
      <c r="PKJ116" s="212"/>
      <c r="PKK116" s="196"/>
      <c r="PKL116" s="197"/>
      <c r="PKM116" s="209"/>
      <c r="PKN116" s="209"/>
      <c r="PKO116" s="210"/>
      <c r="PKP116" s="210"/>
      <c r="PKQ116" s="211"/>
      <c r="PKR116" s="210"/>
      <c r="PKS116" s="210"/>
      <c r="PKT116" s="210"/>
      <c r="PKU116" s="210"/>
      <c r="PKV116" s="212"/>
      <c r="PKW116" s="196"/>
      <c r="PKX116" s="197"/>
      <c r="PKY116" s="209"/>
      <c r="PKZ116" s="209"/>
      <c r="PLA116" s="210"/>
      <c r="PLB116" s="210"/>
      <c r="PLC116" s="211"/>
      <c r="PLD116" s="210"/>
      <c r="PLE116" s="210"/>
      <c r="PLF116" s="210"/>
      <c r="PLG116" s="210"/>
      <c r="PLH116" s="212"/>
      <c r="PLI116" s="196"/>
      <c r="PLJ116" s="197"/>
      <c r="PLK116" s="209"/>
      <c r="PLL116" s="209"/>
      <c r="PLM116" s="210"/>
      <c r="PLN116" s="210"/>
      <c r="PLO116" s="211"/>
      <c r="PLP116" s="210"/>
      <c r="PLQ116" s="210"/>
      <c r="PLR116" s="210"/>
      <c r="PLS116" s="210"/>
      <c r="PLT116" s="212"/>
      <c r="PLU116" s="196"/>
      <c r="PLV116" s="197"/>
      <c r="PLW116" s="209"/>
      <c r="PLX116" s="209"/>
      <c r="PLY116" s="210"/>
      <c r="PLZ116" s="210"/>
      <c r="PMA116" s="211"/>
      <c r="PMB116" s="210"/>
      <c r="PMC116" s="210"/>
      <c r="PMD116" s="210"/>
      <c r="PME116" s="210"/>
      <c r="PMF116" s="212"/>
      <c r="PMG116" s="196"/>
      <c r="PMH116" s="197"/>
      <c r="PMI116" s="209"/>
      <c r="PMJ116" s="209"/>
      <c r="PMK116" s="210"/>
      <c r="PML116" s="210"/>
      <c r="PMM116" s="211"/>
      <c r="PMN116" s="210"/>
      <c r="PMO116" s="210"/>
      <c r="PMP116" s="210"/>
      <c r="PMQ116" s="210"/>
      <c r="PMR116" s="212"/>
      <c r="PMS116" s="196"/>
      <c r="PMT116" s="197"/>
      <c r="PMU116" s="209"/>
      <c r="PMV116" s="209"/>
      <c r="PMW116" s="210"/>
      <c r="PMX116" s="210"/>
      <c r="PMY116" s="211"/>
      <c r="PMZ116" s="210"/>
      <c r="PNA116" s="210"/>
      <c r="PNB116" s="210"/>
      <c r="PNC116" s="210"/>
      <c r="PND116" s="212"/>
      <c r="PNE116" s="196"/>
      <c r="PNF116" s="197"/>
      <c r="PNG116" s="209"/>
      <c r="PNH116" s="209"/>
      <c r="PNI116" s="210"/>
      <c r="PNJ116" s="210"/>
      <c r="PNK116" s="211"/>
      <c r="PNL116" s="210"/>
      <c r="PNM116" s="210"/>
      <c r="PNN116" s="210"/>
      <c r="PNO116" s="210"/>
      <c r="PNP116" s="212"/>
      <c r="PNQ116" s="196"/>
      <c r="PNR116" s="197"/>
      <c r="PNS116" s="209"/>
      <c r="PNT116" s="209"/>
      <c r="PNU116" s="210"/>
      <c r="PNV116" s="210"/>
      <c r="PNW116" s="211"/>
      <c r="PNX116" s="210"/>
      <c r="PNY116" s="210"/>
      <c r="PNZ116" s="210"/>
      <c r="POA116" s="210"/>
      <c r="POB116" s="212"/>
      <c r="POC116" s="196"/>
      <c r="POD116" s="197"/>
      <c r="POE116" s="209"/>
      <c r="POF116" s="209"/>
      <c r="POG116" s="210"/>
      <c r="POH116" s="210"/>
      <c r="POI116" s="211"/>
      <c r="POJ116" s="210"/>
      <c r="POK116" s="210"/>
      <c r="POL116" s="210"/>
      <c r="POM116" s="210"/>
      <c r="PON116" s="212"/>
      <c r="POO116" s="196"/>
      <c r="POP116" s="197"/>
      <c r="POQ116" s="209"/>
      <c r="POR116" s="209"/>
      <c r="POS116" s="210"/>
      <c r="POT116" s="210"/>
      <c r="POU116" s="211"/>
      <c r="POV116" s="210"/>
      <c r="POW116" s="210"/>
      <c r="POX116" s="210"/>
      <c r="POY116" s="210"/>
      <c r="POZ116" s="212"/>
      <c r="PPA116" s="196"/>
      <c r="PPB116" s="197"/>
      <c r="PPC116" s="209"/>
      <c r="PPD116" s="209"/>
      <c r="PPE116" s="210"/>
      <c r="PPF116" s="210"/>
      <c r="PPG116" s="211"/>
      <c r="PPH116" s="210"/>
      <c r="PPI116" s="210"/>
      <c r="PPJ116" s="210"/>
      <c r="PPK116" s="210"/>
      <c r="PPL116" s="212"/>
      <c r="PPM116" s="196"/>
      <c r="PPN116" s="197"/>
      <c r="PPO116" s="209"/>
      <c r="PPP116" s="209"/>
      <c r="PPQ116" s="210"/>
      <c r="PPR116" s="210"/>
      <c r="PPS116" s="211"/>
      <c r="PPT116" s="210"/>
      <c r="PPU116" s="210"/>
      <c r="PPV116" s="210"/>
      <c r="PPW116" s="210"/>
      <c r="PPX116" s="212"/>
      <c r="PPY116" s="196"/>
      <c r="PPZ116" s="197"/>
      <c r="PQA116" s="209"/>
      <c r="PQB116" s="209"/>
      <c r="PQC116" s="210"/>
      <c r="PQD116" s="210"/>
      <c r="PQE116" s="211"/>
      <c r="PQF116" s="210"/>
      <c r="PQG116" s="210"/>
      <c r="PQH116" s="210"/>
      <c r="PQI116" s="210"/>
      <c r="PQJ116" s="212"/>
      <c r="PQK116" s="196"/>
      <c r="PQL116" s="197"/>
      <c r="PQM116" s="209"/>
      <c r="PQN116" s="209"/>
      <c r="PQO116" s="210"/>
      <c r="PQP116" s="210"/>
      <c r="PQQ116" s="211"/>
      <c r="PQR116" s="210"/>
      <c r="PQS116" s="210"/>
      <c r="PQT116" s="210"/>
      <c r="PQU116" s="210"/>
      <c r="PQV116" s="212"/>
      <c r="PQW116" s="196"/>
      <c r="PQX116" s="197"/>
      <c r="PQY116" s="209"/>
      <c r="PQZ116" s="209"/>
      <c r="PRA116" s="210"/>
      <c r="PRB116" s="210"/>
      <c r="PRC116" s="211"/>
      <c r="PRD116" s="210"/>
      <c r="PRE116" s="210"/>
      <c r="PRF116" s="210"/>
      <c r="PRG116" s="210"/>
      <c r="PRH116" s="212"/>
      <c r="PRI116" s="196"/>
      <c r="PRJ116" s="197"/>
      <c r="PRK116" s="209"/>
      <c r="PRL116" s="209"/>
      <c r="PRM116" s="210"/>
      <c r="PRN116" s="210"/>
      <c r="PRO116" s="211"/>
      <c r="PRP116" s="210"/>
      <c r="PRQ116" s="210"/>
      <c r="PRR116" s="210"/>
      <c r="PRS116" s="210"/>
      <c r="PRT116" s="212"/>
      <c r="PRU116" s="196"/>
      <c r="PRV116" s="197"/>
      <c r="PRW116" s="209"/>
      <c r="PRX116" s="209"/>
      <c r="PRY116" s="210"/>
      <c r="PRZ116" s="210"/>
      <c r="PSA116" s="211"/>
      <c r="PSB116" s="210"/>
      <c r="PSC116" s="210"/>
      <c r="PSD116" s="210"/>
      <c r="PSE116" s="210"/>
      <c r="PSF116" s="212"/>
      <c r="PSG116" s="196"/>
      <c r="PSH116" s="197"/>
      <c r="PSI116" s="209"/>
      <c r="PSJ116" s="209"/>
      <c r="PSK116" s="210"/>
      <c r="PSL116" s="210"/>
      <c r="PSM116" s="211"/>
      <c r="PSN116" s="210"/>
      <c r="PSO116" s="210"/>
      <c r="PSP116" s="210"/>
      <c r="PSQ116" s="210"/>
      <c r="PSR116" s="212"/>
      <c r="PSS116" s="196"/>
      <c r="PST116" s="197"/>
      <c r="PSU116" s="209"/>
      <c r="PSV116" s="209"/>
      <c r="PSW116" s="210"/>
      <c r="PSX116" s="210"/>
      <c r="PSY116" s="211"/>
      <c r="PSZ116" s="210"/>
      <c r="PTA116" s="210"/>
      <c r="PTB116" s="210"/>
      <c r="PTC116" s="210"/>
      <c r="PTD116" s="212"/>
      <c r="PTE116" s="196"/>
      <c r="PTF116" s="197"/>
      <c r="PTG116" s="209"/>
      <c r="PTH116" s="209"/>
      <c r="PTI116" s="210"/>
      <c r="PTJ116" s="210"/>
      <c r="PTK116" s="211"/>
      <c r="PTL116" s="210"/>
      <c r="PTM116" s="210"/>
      <c r="PTN116" s="210"/>
      <c r="PTO116" s="210"/>
      <c r="PTP116" s="212"/>
      <c r="PTQ116" s="196"/>
      <c r="PTR116" s="197"/>
      <c r="PTS116" s="209"/>
      <c r="PTT116" s="209"/>
      <c r="PTU116" s="210"/>
      <c r="PTV116" s="210"/>
      <c r="PTW116" s="211"/>
      <c r="PTX116" s="210"/>
      <c r="PTY116" s="210"/>
      <c r="PTZ116" s="210"/>
      <c r="PUA116" s="210"/>
      <c r="PUB116" s="212"/>
      <c r="PUC116" s="196"/>
      <c r="PUD116" s="197"/>
      <c r="PUE116" s="209"/>
      <c r="PUF116" s="209"/>
      <c r="PUG116" s="210"/>
      <c r="PUH116" s="210"/>
      <c r="PUI116" s="211"/>
      <c r="PUJ116" s="210"/>
      <c r="PUK116" s="210"/>
      <c r="PUL116" s="210"/>
      <c r="PUM116" s="210"/>
      <c r="PUN116" s="212"/>
      <c r="PUO116" s="196"/>
      <c r="PUP116" s="197"/>
      <c r="PUQ116" s="209"/>
      <c r="PUR116" s="209"/>
      <c r="PUS116" s="210"/>
      <c r="PUT116" s="210"/>
      <c r="PUU116" s="211"/>
      <c r="PUV116" s="210"/>
      <c r="PUW116" s="210"/>
      <c r="PUX116" s="210"/>
      <c r="PUY116" s="210"/>
      <c r="PUZ116" s="212"/>
      <c r="PVA116" s="196"/>
      <c r="PVB116" s="197"/>
      <c r="PVC116" s="209"/>
      <c r="PVD116" s="209"/>
      <c r="PVE116" s="210"/>
      <c r="PVF116" s="210"/>
      <c r="PVG116" s="211"/>
      <c r="PVH116" s="210"/>
      <c r="PVI116" s="210"/>
      <c r="PVJ116" s="210"/>
      <c r="PVK116" s="210"/>
      <c r="PVL116" s="212"/>
      <c r="PVM116" s="196"/>
      <c r="PVN116" s="197"/>
      <c r="PVO116" s="209"/>
      <c r="PVP116" s="209"/>
      <c r="PVQ116" s="210"/>
      <c r="PVR116" s="210"/>
      <c r="PVS116" s="211"/>
      <c r="PVT116" s="210"/>
      <c r="PVU116" s="210"/>
      <c r="PVV116" s="210"/>
      <c r="PVW116" s="210"/>
      <c r="PVX116" s="212"/>
      <c r="PVY116" s="196"/>
      <c r="PVZ116" s="197"/>
      <c r="PWA116" s="209"/>
      <c r="PWB116" s="209"/>
      <c r="PWC116" s="210"/>
      <c r="PWD116" s="210"/>
      <c r="PWE116" s="211"/>
      <c r="PWF116" s="210"/>
      <c r="PWG116" s="210"/>
      <c r="PWH116" s="210"/>
      <c r="PWI116" s="210"/>
      <c r="PWJ116" s="212"/>
      <c r="PWK116" s="196"/>
      <c r="PWL116" s="197"/>
      <c r="PWM116" s="209"/>
      <c r="PWN116" s="209"/>
      <c r="PWO116" s="210"/>
      <c r="PWP116" s="210"/>
      <c r="PWQ116" s="211"/>
      <c r="PWR116" s="210"/>
      <c r="PWS116" s="210"/>
      <c r="PWT116" s="210"/>
      <c r="PWU116" s="210"/>
      <c r="PWV116" s="212"/>
      <c r="PWW116" s="196"/>
      <c r="PWX116" s="197"/>
      <c r="PWY116" s="209"/>
      <c r="PWZ116" s="209"/>
      <c r="PXA116" s="210"/>
      <c r="PXB116" s="210"/>
      <c r="PXC116" s="211"/>
      <c r="PXD116" s="210"/>
      <c r="PXE116" s="210"/>
      <c r="PXF116" s="210"/>
      <c r="PXG116" s="210"/>
      <c r="PXH116" s="212"/>
      <c r="PXI116" s="196"/>
      <c r="PXJ116" s="197"/>
      <c r="PXK116" s="209"/>
      <c r="PXL116" s="209"/>
      <c r="PXM116" s="210"/>
      <c r="PXN116" s="210"/>
      <c r="PXO116" s="211"/>
      <c r="PXP116" s="210"/>
      <c r="PXQ116" s="210"/>
      <c r="PXR116" s="210"/>
      <c r="PXS116" s="210"/>
      <c r="PXT116" s="212"/>
      <c r="PXU116" s="196"/>
      <c r="PXV116" s="197"/>
      <c r="PXW116" s="209"/>
      <c r="PXX116" s="209"/>
      <c r="PXY116" s="210"/>
      <c r="PXZ116" s="210"/>
      <c r="PYA116" s="211"/>
      <c r="PYB116" s="210"/>
      <c r="PYC116" s="210"/>
      <c r="PYD116" s="210"/>
      <c r="PYE116" s="210"/>
      <c r="PYF116" s="212"/>
      <c r="PYG116" s="196"/>
      <c r="PYH116" s="197"/>
      <c r="PYI116" s="209"/>
      <c r="PYJ116" s="209"/>
      <c r="PYK116" s="210"/>
      <c r="PYL116" s="210"/>
      <c r="PYM116" s="211"/>
      <c r="PYN116" s="210"/>
      <c r="PYO116" s="210"/>
      <c r="PYP116" s="210"/>
      <c r="PYQ116" s="210"/>
      <c r="PYR116" s="212"/>
      <c r="PYS116" s="196"/>
      <c r="PYT116" s="197"/>
      <c r="PYU116" s="209"/>
      <c r="PYV116" s="209"/>
      <c r="PYW116" s="210"/>
      <c r="PYX116" s="210"/>
      <c r="PYY116" s="211"/>
      <c r="PYZ116" s="210"/>
      <c r="PZA116" s="210"/>
      <c r="PZB116" s="210"/>
      <c r="PZC116" s="210"/>
      <c r="PZD116" s="212"/>
      <c r="PZE116" s="196"/>
      <c r="PZF116" s="197"/>
      <c r="PZG116" s="209"/>
      <c r="PZH116" s="209"/>
      <c r="PZI116" s="210"/>
      <c r="PZJ116" s="210"/>
      <c r="PZK116" s="211"/>
      <c r="PZL116" s="210"/>
      <c r="PZM116" s="210"/>
      <c r="PZN116" s="210"/>
      <c r="PZO116" s="210"/>
      <c r="PZP116" s="212"/>
      <c r="PZQ116" s="196"/>
      <c r="PZR116" s="197"/>
      <c r="PZS116" s="209"/>
      <c r="PZT116" s="209"/>
      <c r="PZU116" s="210"/>
      <c r="PZV116" s="210"/>
      <c r="PZW116" s="211"/>
      <c r="PZX116" s="210"/>
      <c r="PZY116" s="210"/>
      <c r="PZZ116" s="210"/>
      <c r="QAA116" s="210"/>
      <c r="QAB116" s="212"/>
      <c r="QAC116" s="196"/>
      <c r="QAD116" s="197"/>
      <c r="QAE116" s="209"/>
      <c r="QAF116" s="209"/>
      <c r="QAG116" s="210"/>
      <c r="QAH116" s="210"/>
      <c r="QAI116" s="211"/>
      <c r="QAJ116" s="210"/>
      <c r="QAK116" s="210"/>
      <c r="QAL116" s="210"/>
      <c r="QAM116" s="210"/>
      <c r="QAN116" s="212"/>
      <c r="QAO116" s="196"/>
      <c r="QAP116" s="197"/>
      <c r="QAQ116" s="209"/>
      <c r="QAR116" s="209"/>
      <c r="QAS116" s="210"/>
      <c r="QAT116" s="210"/>
      <c r="QAU116" s="211"/>
      <c r="QAV116" s="210"/>
      <c r="QAW116" s="210"/>
      <c r="QAX116" s="210"/>
      <c r="QAY116" s="210"/>
      <c r="QAZ116" s="212"/>
      <c r="QBA116" s="196"/>
      <c r="QBB116" s="197"/>
      <c r="QBC116" s="209"/>
      <c r="QBD116" s="209"/>
      <c r="QBE116" s="210"/>
      <c r="QBF116" s="210"/>
      <c r="QBG116" s="211"/>
      <c r="QBH116" s="210"/>
      <c r="QBI116" s="210"/>
      <c r="QBJ116" s="210"/>
      <c r="QBK116" s="210"/>
      <c r="QBL116" s="212"/>
      <c r="QBM116" s="196"/>
      <c r="QBN116" s="197"/>
      <c r="QBO116" s="209"/>
      <c r="QBP116" s="209"/>
      <c r="QBQ116" s="210"/>
      <c r="QBR116" s="210"/>
      <c r="QBS116" s="211"/>
      <c r="QBT116" s="210"/>
      <c r="QBU116" s="210"/>
      <c r="QBV116" s="210"/>
      <c r="QBW116" s="210"/>
      <c r="QBX116" s="212"/>
      <c r="QBY116" s="196"/>
      <c r="QBZ116" s="197"/>
      <c r="QCA116" s="209"/>
      <c r="QCB116" s="209"/>
      <c r="QCC116" s="210"/>
      <c r="QCD116" s="210"/>
      <c r="QCE116" s="211"/>
      <c r="QCF116" s="210"/>
      <c r="QCG116" s="210"/>
      <c r="QCH116" s="210"/>
      <c r="QCI116" s="210"/>
      <c r="QCJ116" s="212"/>
      <c r="QCK116" s="196"/>
      <c r="QCL116" s="197"/>
      <c r="QCM116" s="209"/>
      <c r="QCN116" s="209"/>
      <c r="QCO116" s="210"/>
      <c r="QCP116" s="210"/>
      <c r="QCQ116" s="211"/>
      <c r="QCR116" s="210"/>
      <c r="QCS116" s="210"/>
      <c r="QCT116" s="210"/>
      <c r="QCU116" s="210"/>
      <c r="QCV116" s="212"/>
      <c r="QCW116" s="196"/>
      <c r="QCX116" s="197"/>
      <c r="QCY116" s="209"/>
      <c r="QCZ116" s="209"/>
      <c r="QDA116" s="210"/>
      <c r="QDB116" s="210"/>
      <c r="QDC116" s="211"/>
      <c r="QDD116" s="210"/>
      <c r="QDE116" s="210"/>
      <c r="QDF116" s="210"/>
      <c r="QDG116" s="210"/>
      <c r="QDH116" s="212"/>
      <c r="QDI116" s="196"/>
      <c r="QDJ116" s="197"/>
      <c r="QDK116" s="209"/>
      <c r="QDL116" s="209"/>
      <c r="QDM116" s="210"/>
      <c r="QDN116" s="210"/>
      <c r="QDO116" s="211"/>
      <c r="QDP116" s="210"/>
      <c r="QDQ116" s="210"/>
      <c r="QDR116" s="210"/>
      <c r="QDS116" s="210"/>
      <c r="QDT116" s="212"/>
      <c r="QDU116" s="196"/>
      <c r="QDV116" s="197"/>
      <c r="QDW116" s="209"/>
      <c r="QDX116" s="209"/>
      <c r="QDY116" s="210"/>
      <c r="QDZ116" s="210"/>
      <c r="QEA116" s="211"/>
      <c r="QEB116" s="210"/>
      <c r="QEC116" s="210"/>
      <c r="QED116" s="210"/>
      <c r="QEE116" s="210"/>
      <c r="QEF116" s="212"/>
      <c r="QEG116" s="196"/>
      <c r="QEH116" s="197"/>
      <c r="QEI116" s="209"/>
      <c r="QEJ116" s="209"/>
      <c r="QEK116" s="210"/>
      <c r="QEL116" s="210"/>
      <c r="QEM116" s="211"/>
      <c r="QEN116" s="210"/>
      <c r="QEO116" s="210"/>
      <c r="QEP116" s="210"/>
      <c r="QEQ116" s="210"/>
      <c r="QER116" s="212"/>
      <c r="QES116" s="196"/>
      <c r="QET116" s="197"/>
      <c r="QEU116" s="209"/>
      <c r="QEV116" s="209"/>
      <c r="QEW116" s="210"/>
      <c r="QEX116" s="210"/>
      <c r="QEY116" s="211"/>
      <c r="QEZ116" s="210"/>
      <c r="QFA116" s="210"/>
      <c r="QFB116" s="210"/>
      <c r="QFC116" s="210"/>
      <c r="QFD116" s="212"/>
      <c r="QFE116" s="196"/>
      <c r="QFF116" s="197"/>
      <c r="QFG116" s="209"/>
      <c r="QFH116" s="209"/>
      <c r="QFI116" s="210"/>
      <c r="QFJ116" s="210"/>
      <c r="QFK116" s="211"/>
      <c r="QFL116" s="210"/>
      <c r="QFM116" s="210"/>
      <c r="QFN116" s="210"/>
      <c r="QFO116" s="210"/>
      <c r="QFP116" s="212"/>
      <c r="QFQ116" s="196"/>
      <c r="QFR116" s="197"/>
      <c r="QFS116" s="209"/>
      <c r="QFT116" s="209"/>
      <c r="QFU116" s="210"/>
      <c r="QFV116" s="210"/>
      <c r="QFW116" s="211"/>
      <c r="QFX116" s="210"/>
      <c r="QFY116" s="210"/>
      <c r="QFZ116" s="210"/>
      <c r="QGA116" s="210"/>
      <c r="QGB116" s="212"/>
      <c r="QGC116" s="196"/>
      <c r="QGD116" s="197"/>
      <c r="QGE116" s="209"/>
      <c r="QGF116" s="209"/>
      <c r="QGG116" s="210"/>
      <c r="QGH116" s="210"/>
      <c r="QGI116" s="211"/>
      <c r="QGJ116" s="210"/>
      <c r="QGK116" s="210"/>
      <c r="QGL116" s="210"/>
      <c r="QGM116" s="210"/>
      <c r="QGN116" s="212"/>
      <c r="QGO116" s="196"/>
      <c r="QGP116" s="197"/>
      <c r="QGQ116" s="209"/>
      <c r="QGR116" s="209"/>
      <c r="QGS116" s="210"/>
      <c r="QGT116" s="210"/>
      <c r="QGU116" s="211"/>
      <c r="QGV116" s="210"/>
      <c r="QGW116" s="210"/>
      <c r="QGX116" s="210"/>
      <c r="QGY116" s="210"/>
      <c r="QGZ116" s="212"/>
      <c r="QHA116" s="196"/>
      <c r="QHB116" s="197"/>
      <c r="QHC116" s="209"/>
      <c r="QHD116" s="209"/>
      <c r="QHE116" s="210"/>
      <c r="QHF116" s="210"/>
      <c r="QHG116" s="211"/>
      <c r="QHH116" s="210"/>
      <c r="QHI116" s="210"/>
      <c r="QHJ116" s="210"/>
      <c r="QHK116" s="210"/>
      <c r="QHL116" s="212"/>
      <c r="QHM116" s="196"/>
      <c r="QHN116" s="197"/>
      <c r="QHO116" s="209"/>
      <c r="QHP116" s="209"/>
      <c r="QHQ116" s="210"/>
      <c r="QHR116" s="210"/>
      <c r="QHS116" s="211"/>
      <c r="QHT116" s="210"/>
      <c r="QHU116" s="210"/>
      <c r="QHV116" s="210"/>
      <c r="QHW116" s="210"/>
      <c r="QHX116" s="212"/>
      <c r="QHY116" s="196"/>
      <c r="QHZ116" s="197"/>
      <c r="QIA116" s="209"/>
      <c r="QIB116" s="209"/>
      <c r="QIC116" s="210"/>
      <c r="QID116" s="210"/>
      <c r="QIE116" s="211"/>
      <c r="QIF116" s="210"/>
      <c r="QIG116" s="210"/>
      <c r="QIH116" s="210"/>
      <c r="QII116" s="210"/>
      <c r="QIJ116" s="212"/>
      <c r="QIK116" s="196"/>
      <c r="QIL116" s="197"/>
      <c r="QIM116" s="209"/>
      <c r="QIN116" s="209"/>
      <c r="QIO116" s="210"/>
      <c r="QIP116" s="210"/>
      <c r="QIQ116" s="211"/>
      <c r="QIR116" s="210"/>
      <c r="QIS116" s="210"/>
      <c r="QIT116" s="210"/>
      <c r="QIU116" s="210"/>
      <c r="QIV116" s="212"/>
      <c r="QIW116" s="196"/>
      <c r="QIX116" s="197"/>
      <c r="QIY116" s="209"/>
      <c r="QIZ116" s="209"/>
      <c r="QJA116" s="210"/>
      <c r="QJB116" s="210"/>
      <c r="QJC116" s="211"/>
      <c r="QJD116" s="210"/>
      <c r="QJE116" s="210"/>
      <c r="QJF116" s="210"/>
      <c r="QJG116" s="210"/>
      <c r="QJH116" s="212"/>
      <c r="QJI116" s="196"/>
      <c r="QJJ116" s="197"/>
      <c r="QJK116" s="209"/>
      <c r="QJL116" s="209"/>
      <c r="QJM116" s="210"/>
      <c r="QJN116" s="210"/>
      <c r="QJO116" s="211"/>
      <c r="QJP116" s="210"/>
      <c r="QJQ116" s="210"/>
      <c r="QJR116" s="210"/>
      <c r="QJS116" s="210"/>
      <c r="QJT116" s="212"/>
      <c r="QJU116" s="196"/>
      <c r="QJV116" s="197"/>
      <c r="QJW116" s="209"/>
      <c r="QJX116" s="209"/>
      <c r="QJY116" s="210"/>
      <c r="QJZ116" s="210"/>
      <c r="QKA116" s="211"/>
      <c r="QKB116" s="210"/>
      <c r="QKC116" s="210"/>
      <c r="QKD116" s="210"/>
      <c r="QKE116" s="210"/>
      <c r="QKF116" s="212"/>
      <c r="QKG116" s="196"/>
      <c r="QKH116" s="197"/>
      <c r="QKI116" s="209"/>
      <c r="QKJ116" s="209"/>
      <c r="QKK116" s="210"/>
      <c r="QKL116" s="210"/>
      <c r="QKM116" s="211"/>
      <c r="QKN116" s="210"/>
      <c r="QKO116" s="210"/>
      <c r="QKP116" s="210"/>
      <c r="QKQ116" s="210"/>
      <c r="QKR116" s="212"/>
      <c r="QKS116" s="196"/>
      <c r="QKT116" s="197"/>
      <c r="QKU116" s="209"/>
      <c r="QKV116" s="209"/>
      <c r="QKW116" s="210"/>
      <c r="QKX116" s="210"/>
      <c r="QKY116" s="211"/>
      <c r="QKZ116" s="210"/>
      <c r="QLA116" s="210"/>
      <c r="QLB116" s="210"/>
      <c r="QLC116" s="210"/>
      <c r="QLD116" s="212"/>
      <c r="QLE116" s="196"/>
      <c r="QLF116" s="197"/>
      <c r="QLG116" s="209"/>
      <c r="QLH116" s="209"/>
      <c r="QLI116" s="210"/>
      <c r="QLJ116" s="210"/>
      <c r="QLK116" s="211"/>
      <c r="QLL116" s="210"/>
      <c r="QLM116" s="210"/>
      <c r="QLN116" s="210"/>
      <c r="QLO116" s="210"/>
      <c r="QLP116" s="212"/>
      <c r="QLQ116" s="196"/>
      <c r="QLR116" s="197"/>
      <c r="QLS116" s="209"/>
      <c r="QLT116" s="209"/>
      <c r="QLU116" s="210"/>
      <c r="QLV116" s="210"/>
      <c r="QLW116" s="211"/>
      <c r="QLX116" s="210"/>
      <c r="QLY116" s="210"/>
      <c r="QLZ116" s="210"/>
      <c r="QMA116" s="210"/>
      <c r="QMB116" s="212"/>
      <c r="QMC116" s="196"/>
      <c r="QMD116" s="197"/>
      <c r="QME116" s="209"/>
      <c r="QMF116" s="209"/>
      <c r="QMG116" s="210"/>
      <c r="QMH116" s="210"/>
      <c r="QMI116" s="211"/>
      <c r="QMJ116" s="210"/>
      <c r="QMK116" s="210"/>
      <c r="QML116" s="210"/>
      <c r="QMM116" s="210"/>
      <c r="QMN116" s="212"/>
      <c r="QMO116" s="196"/>
      <c r="QMP116" s="197"/>
      <c r="QMQ116" s="209"/>
      <c r="QMR116" s="209"/>
      <c r="QMS116" s="210"/>
      <c r="QMT116" s="210"/>
      <c r="QMU116" s="211"/>
      <c r="QMV116" s="210"/>
      <c r="QMW116" s="210"/>
      <c r="QMX116" s="210"/>
      <c r="QMY116" s="210"/>
      <c r="QMZ116" s="212"/>
      <c r="QNA116" s="196"/>
      <c r="QNB116" s="197"/>
      <c r="QNC116" s="209"/>
      <c r="QND116" s="209"/>
      <c r="QNE116" s="210"/>
      <c r="QNF116" s="210"/>
      <c r="QNG116" s="211"/>
      <c r="QNH116" s="210"/>
      <c r="QNI116" s="210"/>
      <c r="QNJ116" s="210"/>
      <c r="QNK116" s="210"/>
      <c r="QNL116" s="212"/>
      <c r="QNM116" s="196"/>
      <c r="QNN116" s="197"/>
      <c r="QNO116" s="209"/>
      <c r="QNP116" s="209"/>
      <c r="QNQ116" s="210"/>
      <c r="QNR116" s="210"/>
      <c r="QNS116" s="211"/>
      <c r="QNT116" s="210"/>
      <c r="QNU116" s="210"/>
      <c r="QNV116" s="210"/>
      <c r="QNW116" s="210"/>
      <c r="QNX116" s="212"/>
      <c r="QNY116" s="196"/>
      <c r="QNZ116" s="197"/>
      <c r="QOA116" s="209"/>
      <c r="QOB116" s="209"/>
      <c r="QOC116" s="210"/>
      <c r="QOD116" s="210"/>
      <c r="QOE116" s="211"/>
      <c r="QOF116" s="210"/>
      <c r="QOG116" s="210"/>
      <c r="QOH116" s="210"/>
      <c r="QOI116" s="210"/>
      <c r="QOJ116" s="212"/>
      <c r="QOK116" s="196"/>
      <c r="QOL116" s="197"/>
      <c r="QOM116" s="209"/>
      <c r="QON116" s="209"/>
      <c r="QOO116" s="210"/>
      <c r="QOP116" s="210"/>
      <c r="QOQ116" s="211"/>
      <c r="QOR116" s="210"/>
      <c r="QOS116" s="210"/>
      <c r="QOT116" s="210"/>
      <c r="QOU116" s="210"/>
      <c r="QOV116" s="212"/>
      <c r="QOW116" s="196"/>
      <c r="QOX116" s="197"/>
      <c r="QOY116" s="209"/>
      <c r="QOZ116" s="209"/>
      <c r="QPA116" s="210"/>
      <c r="QPB116" s="210"/>
      <c r="QPC116" s="211"/>
      <c r="QPD116" s="210"/>
      <c r="QPE116" s="210"/>
      <c r="QPF116" s="210"/>
      <c r="QPG116" s="210"/>
      <c r="QPH116" s="212"/>
      <c r="QPI116" s="196"/>
      <c r="QPJ116" s="197"/>
      <c r="QPK116" s="209"/>
      <c r="QPL116" s="209"/>
      <c r="QPM116" s="210"/>
      <c r="QPN116" s="210"/>
      <c r="QPO116" s="211"/>
      <c r="QPP116" s="210"/>
      <c r="QPQ116" s="210"/>
      <c r="QPR116" s="210"/>
      <c r="QPS116" s="210"/>
      <c r="QPT116" s="212"/>
      <c r="QPU116" s="196"/>
      <c r="QPV116" s="197"/>
      <c r="QPW116" s="209"/>
      <c r="QPX116" s="209"/>
      <c r="QPY116" s="210"/>
      <c r="QPZ116" s="210"/>
      <c r="QQA116" s="211"/>
      <c r="QQB116" s="210"/>
      <c r="QQC116" s="210"/>
      <c r="QQD116" s="210"/>
      <c r="QQE116" s="210"/>
      <c r="QQF116" s="212"/>
      <c r="QQG116" s="196"/>
      <c r="QQH116" s="197"/>
      <c r="QQI116" s="209"/>
      <c r="QQJ116" s="209"/>
      <c r="QQK116" s="210"/>
      <c r="QQL116" s="210"/>
      <c r="QQM116" s="211"/>
      <c r="QQN116" s="210"/>
      <c r="QQO116" s="210"/>
      <c r="QQP116" s="210"/>
      <c r="QQQ116" s="210"/>
      <c r="QQR116" s="212"/>
      <c r="QQS116" s="196"/>
      <c r="QQT116" s="197"/>
      <c r="QQU116" s="209"/>
      <c r="QQV116" s="209"/>
      <c r="QQW116" s="210"/>
      <c r="QQX116" s="210"/>
      <c r="QQY116" s="211"/>
      <c r="QQZ116" s="210"/>
      <c r="QRA116" s="210"/>
      <c r="QRB116" s="210"/>
      <c r="QRC116" s="210"/>
      <c r="QRD116" s="212"/>
      <c r="QRE116" s="196"/>
      <c r="QRF116" s="197"/>
      <c r="QRG116" s="209"/>
      <c r="QRH116" s="209"/>
      <c r="QRI116" s="210"/>
      <c r="QRJ116" s="210"/>
      <c r="QRK116" s="211"/>
      <c r="QRL116" s="210"/>
      <c r="QRM116" s="210"/>
      <c r="QRN116" s="210"/>
      <c r="QRO116" s="210"/>
      <c r="QRP116" s="212"/>
      <c r="QRQ116" s="196"/>
      <c r="QRR116" s="197"/>
      <c r="QRS116" s="209"/>
      <c r="QRT116" s="209"/>
      <c r="QRU116" s="210"/>
      <c r="QRV116" s="210"/>
      <c r="QRW116" s="211"/>
      <c r="QRX116" s="210"/>
      <c r="QRY116" s="210"/>
      <c r="QRZ116" s="210"/>
      <c r="QSA116" s="210"/>
      <c r="QSB116" s="212"/>
      <c r="QSC116" s="196"/>
      <c r="QSD116" s="197"/>
      <c r="QSE116" s="209"/>
      <c r="QSF116" s="209"/>
      <c r="QSG116" s="210"/>
      <c r="QSH116" s="210"/>
      <c r="QSI116" s="211"/>
      <c r="QSJ116" s="210"/>
      <c r="QSK116" s="210"/>
      <c r="QSL116" s="210"/>
      <c r="QSM116" s="210"/>
      <c r="QSN116" s="212"/>
      <c r="QSO116" s="196"/>
      <c r="QSP116" s="197"/>
      <c r="QSQ116" s="209"/>
      <c r="QSR116" s="209"/>
      <c r="QSS116" s="210"/>
      <c r="QST116" s="210"/>
      <c r="QSU116" s="211"/>
      <c r="QSV116" s="210"/>
      <c r="QSW116" s="210"/>
      <c r="QSX116" s="210"/>
      <c r="QSY116" s="210"/>
      <c r="QSZ116" s="212"/>
      <c r="QTA116" s="196"/>
      <c r="QTB116" s="197"/>
      <c r="QTC116" s="209"/>
      <c r="QTD116" s="209"/>
      <c r="QTE116" s="210"/>
      <c r="QTF116" s="210"/>
      <c r="QTG116" s="211"/>
      <c r="QTH116" s="210"/>
      <c r="QTI116" s="210"/>
      <c r="QTJ116" s="210"/>
      <c r="QTK116" s="210"/>
      <c r="QTL116" s="212"/>
      <c r="QTM116" s="196"/>
      <c r="QTN116" s="197"/>
      <c r="QTO116" s="209"/>
      <c r="QTP116" s="209"/>
      <c r="QTQ116" s="210"/>
      <c r="QTR116" s="210"/>
      <c r="QTS116" s="211"/>
      <c r="QTT116" s="210"/>
      <c r="QTU116" s="210"/>
      <c r="QTV116" s="210"/>
      <c r="QTW116" s="210"/>
      <c r="QTX116" s="212"/>
      <c r="QTY116" s="196"/>
      <c r="QTZ116" s="197"/>
      <c r="QUA116" s="209"/>
      <c r="QUB116" s="209"/>
      <c r="QUC116" s="210"/>
      <c r="QUD116" s="210"/>
      <c r="QUE116" s="211"/>
      <c r="QUF116" s="210"/>
      <c r="QUG116" s="210"/>
      <c r="QUH116" s="210"/>
      <c r="QUI116" s="210"/>
      <c r="QUJ116" s="212"/>
      <c r="QUK116" s="196"/>
      <c r="QUL116" s="197"/>
      <c r="QUM116" s="209"/>
      <c r="QUN116" s="209"/>
      <c r="QUO116" s="210"/>
      <c r="QUP116" s="210"/>
      <c r="QUQ116" s="211"/>
      <c r="QUR116" s="210"/>
      <c r="QUS116" s="210"/>
      <c r="QUT116" s="210"/>
      <c r="QUU116" s="210"/>
      <c r="QUV116" s="212"/>
      <c r="QUW116" s="196"/>
      <c r="QUX116" s="197"/>
      <c r="QUY116" s="209"/>
      <c r="QUZ116" s="209"/>
      <c r="QVA116" s="210"/>
      <c r="QVB116" s="210"/>
      <c r="QVC116" s="211"/>
      <c r="QVD116" s="210"/>
      <c r="QVE116" s="210"/>
      <c r="QVF116" s="210"/>
      <c r="QVG116" s="210"/>
      <c r="QVH116" s="212"/>
      <c r="QVI116" s="196"/>
      <c r="QVJ116" s="197"/>
      <c r="QVK116" s="209"/>
      <c r="QVL116" s="209"/>
      <c r="QVM116" s="210"/>
      <c r="QVN116" s="210"/>
      <c r="QVO116" s="211"/>
      <c r="QVP116" s="210"/>
      <c r="QVQ116" s="210"/>
      <c r="QVR116" s="210"/>
      <c r="QVS116" s="210"/>
      <c r="QVT116" s="212"/>
      <c r="QVU116" s="196"/>
      <c r="QVV116" s="197"/>
      <c r="QVW116" s="209"/>
      <c r="QVX116" s="209"/>
      <c r="QVY116" s="210"/>
      <c r="QVZ116" s="210"/>
      <c r="QWA116" s="211"/>
      <c r="QWB116" s="210"/>
      <c r="QWC116" s="210"/>
      <c r="QWD116" s="210"/>
      <c r="QWE116" s="210"/>
      <c r="QWF116" s="212"/>
      <c r="QWG116" s="196"/>
      <c r="QWH116" s="197"/>
      <c r="QWI116" s="209"/>
      <c r="QWJ116" s="209"/>
      <c r="QWK116" s="210"/>
      <c r="QWL116" s="210"/>
      <c r="QWM116" s="211"/>
      <c r="QWN116" s="210"/>
      <c r="QWO116" s="210"/>
      <c r="QWP116" s="210"/>
      <c r="QWQ116" s="210"/>
      <c r="QWR116" s="212"/>
      <c r="QWS116" s="196"/>
      <c r="QWT116" s="197"/>
      <c r="QWU116" s="209"/>
      <c r="QWV116" s="209"/>
      <c r="QWW116" s="210"/>
      <c r="QWX116" s="210"/>
      <c r="QWY116" s="211"/>
      <c r="QWZ116" s="210"/>
      <c r="QXA116" s="210"/>
      <c r="QXB116" s="210"/>
      <c r="QXC116" s="210"/>
      <c r="QXD116" s="212"/>
      <c r="QXE116" s="196"/>
      <c r="QXF116" s="197"/>
      <c r="QXG116" s="209"/>
      <c r="QXH116" s="209"/>
      <c r="QXI116" s="210"/>
      <c r="QXJ116" s="210"/>
      <c r="QXK116" s="211"/>
      <c r="QXL116" s="210"/>
      <c r="QXM116" s="210"/>
      <c r="QXN116" s="210"/>
      <c r="QXO116" s="210"/>
      <c r="QXP116" s="212"/>
      <c r="QXQ116" s="196"/>
      <c r="QXR116" s="197"/>
      <c r="QXS116" s="209"/>
      <c r="QXT116" s="209"/>
      <c r="QXU116" s="210"/>
      <c r="QXV116" s="210"/>
      <c r="QXW116" s="211"/>
      <c r="QXX116" s="210"/>
      <c r="QXY116" s="210"/>
      <c r="QXZ116" s="210"/>
      <c r="QYA116" s="210"/>
      <c r="QYB116" s="212"/>
      <c r="QYC116" s="196"/>
      <c r="QYD116" s="197"/>
      <c r="QYE116" s="209"/>
      <c r="QYF116" s="209"/>
      <c r="QYG116" s="210"/>
      <c r="QYH116" s="210"/>
      <c r="QYI116" s="211"/>
      <c r="QYJ116" s="210"/>
      <c r="QYK116" s="210"/>
      <c r="QYL116" s="210"/>
      <c r="QYM116" s="210"/>
      <c r="QYN116" s="212"/>
      <c r="QYO116" s="196"/>
      <c r="QYP116" s="197"/>
      <c r="QYQ116" s="209"/>
      <c r="QYR116" s="209"/>
      <c r="QYS116" s="210"/>
      <c r="QYT116" s="210"/>
      <c r="QYU116" s="211"/>
      <c r="QYV116" s="210"/>
      <c r="QYW116" s="210"/>
      <c r="QYX116" s="210"/>
      <c r="QYY116" s="210"/>
      <c r="QYZ116" s="212"/>
      <c r="QZA116" s="196"/>
      <c r="QZB116" s="197"/>
      <c r="QZC116" s="209"/>
      <c r="QZD116" s="209"/>
      <c r="QZE116" s="210"/>
      <c r="QZF116" s="210"/>
      <c r="QZG116" s="211"/>
      <c r="QZH116" s="210"/>
      <c r="QZI116" s="210"/>
      <c r="QZJ116" s="210"/>
      <c r="QZK116" s="210"/>
      <c r="QZL116" s="212"/>
      <c r="QZM116" s="196"/>
      <c r="QZN116" s="197"/>
      <c r="QZO116" s="209"/>
      <c r="QZP116" s="209"/>
      <c r="QZQ116" s="210"/>
      <c r="QZR116" s="210"/>
      <c r="QZS116" s="211"/>
      <c r="QZT116" s="210"/>
      <c r="QZU116" s="210"/>
      <c r="QZV116" s="210"/>
      <c r="QZW116" s="210"/>
      <c r="QZX116" s="212"/>
      <c r="QZY116" s="196"/>
      <c r="QZZ116" s="197"/>
      <c r="RAA116" s="209"/>
      <c r="RAB116" s="209"/>
      <c r="RAC116" s="210"/>
      <c r="RAD116" s="210"/>
      <c r="RAE116" s="211"/>
      <c r="RAF116" s="210"/>
      <c r="RAG116" s="210"/>
      <c r="RAH116" s="210"/>
      <c r="RAI116" s="210"/>
      <c r="RAJ116" s="212"/>
      <c r="RAK116" s="196"/>
      <c r="RAL116" s="197"/>
      <c r="RAM116" s="209"/>
      <c r="RAN116" s="209"/>
      <c r="RAO116" s="210"/>
      <c r="RAP116" s="210"/>
      <c r="RAQ116" s="211"/>
      <c r="RAR116" s="210"/>
      <c r="RAS116" s="210"/>
      <c r="RAT116" s="210"/>
      <c r="RAU116" s="210"/>
      <c r="RAV116" s="212"/>
      <c r="RAW116" s="196"/>
      <c r="RAX116" s="197"/>
      <c r="RAY116" s="209"/>
      <c r="RAZ116" s="209"/>
      <c r="RBA116" s="210"/>
      <c r="RBB116" s="210"/>
      <c r="RBC116" s="211"/>
      <c r="RBD116" s="210"/>
      <c r="RBE116" s="210"/>
      <c r="RBF116" s="210"/>
      <c r="RBG116" s="210"/>
      <c r="RBH116" s="212"/>
      <c r="RBI116" s="196"/>
      <c r="RBJ116" s="197"/>
      <c r="RBK116" s="209"/>
      <c r="RBL116" s="209"/>
      <c r="RBM116" s="210"/>
      <c r="RBN116" s="210"/>
      <c r="RBO116" s="211"/>
      <c r="RBP116" s="210"/>
      <c r="RBQ116" s="210"/>
      <c r="RBR116" s="210"/>
      <c r="RBS116" s="210"/>
      <c r="RBT116" s="212"/>
      <c r="RBU116" s="196"/>
      <c r="RBV116" s="197"/>
      <c r="RBW116" s="209"/>
      <c r="RBX116" s="209"/>
      <c r="RBY116" s="210"/>
      <c r="RBZ116" s="210"/>
      <c r="RCA116" s="211"/>
      <c r="RCB116" s="210"/>
      <c r="RCC116" s="210"/>
      <c r="RCD116" s="210"/>
      <c r="RCE116" s="210"/>
      <c r="RCF116" s="212"/>
      <c r="RCG116" s="196"/>
      <c r="RCH116" s="197"/>
      <c r="RCI116" s="209"/>
      <c r="RCJ116" s="209"/>
      <c r="RCK116" s="210"/>
      <c r="RCL116" s="210"/>
      <c r="RCM116" s="211"/>
      <c r="RCN116" s="210"/>
      <c r="RCO116" s="210"/>
      <c r="RCP116" s="210"/>
      <c r="RCQ116" s="210"/>
      <c r="RCR116" s="212"/>
      <c r="RCS116" s="196"/>
      <c r="RCT116" s="197"/>
      <c r="RCU116" s="209"/>
      <c r="RCV116" s="209"/>
      <c r="RCW116" s="210"/>
      <c r="RCX116" s="210"/>
      <c r="RCY116" s="211"/>
      <c r="RCZ116" s="210"/>
      <c r="RDA116" s="210"/>
      <c r="RDB116" s="210"/>
      <c r="RDC116" s="210"/>
      <c r="RDD116" s="212"/>
      <c r="RDE116" s="196"/>
      <c r="RDF116" s="197"/>
      <c r="RDG116" s="209"/>
      <c r="RDH116" s="209"/>
      <c r="RDI116" s="210"/>
      <c r="RDJ116" s="210"/>
      <c r="RDK116" s="211"/>
      <c r="RDL116" s="210"/>
      <c r="RDM116" s="210"/>
      <c r="RDN116" s="210"/>
      <c r="RDO116" s="210"/>
      <c r="RDP116" s="212"/>
      <c r="RDQ116" s="196"/>
      <c r="RDR116" s="197"/>
      <c r="RDS116" s="209"/>
      <c r="RDT116" s="209"/>
      <c r="RDU116" s="210"/>
      <c r="RDV116" s="210"/>
      <c r="RDW116" s="211"/>
      <c r="RDX116" s="210"/>
      <c r="RDY116" s="210"/>
      <c r="RDZ116" s="210"/>
      <c r="REA116" s="210"/>
      <c r="REB116" s="212"/>
      <c r="REC116" s="196"/>
      <c r="RED116" s="197"/>
      <c r="REE116" s="209"/>
      <c r="REF116" s="209"/>
      <c r="REG116" s="210"/>
      <c r="REH116" s="210"/>
      <c r="REI116" s="211"/>
      <c r="REJ116" s="210"/>
      <c r="REK116" s="210"/>
      <c r="REL116" s="210"/>
      <c r="REM116" s="210"/>
      <c r="REN116" s="212"/>
      <c r="REO116" s="196"/>
      <c r="REP116" s="197"/>
      <c r="REQ116" s="209"/>
      <c r="RER116" s="209"/>
      <c r="RES116" s="210"/>
      <c r="RET116" s="210"/>
      <c r="REU116" s="211"/>
      <c r="REV116" s="210"/>
      <c r="REW116" s="210"/>
      <c r="REX116" s="210"/>
      <c r="REY116" s="210"/>
      <c r="REZ116" s="212"/>
      <c r="RFA116" s="196"/>
      <c r="RFB116" s="197"/>
      <c r="RFC116" s="209"/>
      <c r="RFD116" s="209"/>
      <c r="RFE116" s="210"/>
      <c r="RFF116" s="210"/>
      <c r="RFG116" s="211"/>
      <c r="RFH116" s="210"/>
      <c r="RFI116" s="210"/>
      <c r="RFJ116" s="210"/>
      <c r="RFK116" s="210"/>
      <c r="RFL116" s="212"/>
      <c r="RFM116" s="196"/>
      <c r="RFN116" s="197"/>
      <c r="RFO116" s="209"/>
      <c r="RFP116" s="209"/>
      <c r="RFQ116" s="210"/>
      <c r="RFR116" s="210"/>
      <c r="RFS116" s="211"/>
      <c r="RFT116" s="210"/>
      <c r="RFU116" s="210"/>
      <c r="RFV116" s="210"/>
      <c r="RFW116" s="210"/>
      <c r="RFX116" s="212"/>
      <c r="RFY116" s="196"/>
      <c r="RFZ116" s="197"/>
      <c r="RGA116" s="209"/>
      <c r="RGB116" s="209"/>
      <c r="RGC116" s="210"/>
      <c r="RGD116" s="210"/>
      <c r="RGE116" s="211"/>
      <c r="RGF116" s="210"/>
      <c r="RGG116" s="210"/>
      <c r="RGH116" s="210"/>
      <c r="RGI116" s="210"/>
      <c r="RGJ116" s="212"/>
      <c r="RGK116" s="196"/>
      <c r="RGL116" s="197"/>
      <c r="RGM116" s="209"/>
      <c r="RGN116" s="209"/>
      <c r="RGO116" s="210"/>
      <c r="RGP116" s="210"/>
      <c r="RGQ116" s="211"/>
      <c r="RGR116" s="210"/>
      <c r="RGS116" s="210"/>
      <c r="RGT116" s="210"/>
      <c r="RGU116" s="210"/>
      <c r="RGV116" s="212"/>
      <c r="RGW116" s="196"/>
      <c r="RGX116" s="197"/>
      <c r="RGY116" s="209"/>
      <c r="RGZ116" s="209"/>
      <c r="RHA116" s="210"/>
      <c r="RHB116" s="210"/>
      <c r="RHC116" s="211"/>
      <c r="RHD116" s="210"/>
      <c r="RHE116" s="210"/>
      <c r="RHF116" s="210"/>
      <c r="RHG116" s="210"/>
      <c r="RHH116" s="212"/>
      <c r="RHI116" s="196"/>
      <c r="RHJ116" s="197"/>
      <c r="RHK116" s="209"/>
      <c r="RHL116" s="209"/>
      <c r="RHM116" s="210"/>
      <c r="RHN116" s="210"/>
      <c r="RHO116" s="211"/>
      <c r="RHP116" s="210"/>
      <c r="RHQ116" s="210"/>
      <c r="RHR116" s="210"/>
      <c r="RHS116" s="210"/>
      <c r="RHT116" s="212"/>
      <c r="RHU116" s="196"/>
      <c r="RHV116" s="197"/>
      <c r="RHW116" s="209"/>
      <c r="RHX116" s="209"/>
      <c r="RHY116" s="210"/>
      <c r="RHZ116" s="210"/>
      <c r="RIA116" s="211"/>
      <c r="RIB116" s="210"/>
      <c r="RIC116" s="210"/>
      <c r="RID116" s="210"/>
      <c r="RIE116" s="210"/>
      <c r="RIF116" s="212"/>
      <c r="RIG116" s="196"/>
      <c r="RIH116" s="197"/>
      <c r="RII116" s="209"/>
      <c r="RIJ116" s="209"/>
      <c r="RIK116" s="210"/>
      <c r="RIL116" s="210"/>
      <c r="RIM116" s="211"/>
      <c r="RIN116" s="210"/>
      <c r="RIO116" s="210"/>
      <c r="RIP116" s="210"/>
      <c r="RIQ116" s="210"/>
      <c r="RIR116" s="212"/>
      <c r="RIS116" s="196"/>
      <c r="RIT116" s="197"/>
      <c r="RIU116" s="209"/>
      <c r="RIV116" s="209"/>
      <c r="RIW116" s="210"/>
      <c r="RIX116" s="210"/>
      <c r="RIY116" s="211"/>
      <c r="RIZ116" s="210"/>
      <c r="RJA116" s="210"/>
      <c r="RJB116" s="210"/>
      <c r="RJC116" s="210"/>
      <c r="RJD116" s="212"/>
      <c r="RJE116" s="196"/>
      <c r="RJF116" s="197"/>
      <c r="RJG116" s="209"/>
      <c r="RJH116" s="209"/>
      <c r="RJI116" s="210"/>
      <c r="RJJ116" s="210"/>
      <c r="RJK116" s="211"/>
      <c r="RJL116" s="210"/>
      <c r="RJM116" s="210"/>
      <c r="RJN116" s="210"/>
      <c r="RJO116" s="210"/>
      <c r="RJP116" s="212"/>
      <c r="RJQ116" s="196"/>
      <c r="RJR116" s="197"/>
      <c r="RJS116" s="209"/>
      <c r="RJT116" s="209"/>
      <c r="RJU116" s="210"/>
      <c r="RJV116" s="210"/>
      <c r="RJW116" s="211"/>
      <c r="RJX116" s="210"/>
      <c r="RJY116" s="210"/>
      <c r="RJZ116" s="210"/>
      <c r="RKA116" s="210"/>
      <c r="RKB116" s="212"/>
      <c r="RKC116" s="196"/>
      <c r="RKD116" s="197"/>
      <c r="RKE116" s="209"/>
      <c r="RKF116" s="209"/>
      <c r="RKG116" s="210"/>
      <c r="RKH116" s="210"/>
      <c r="RKI116" s="211"/>
      <c r="RKJ116" s="210"/>
      <c r="RKK116" s="210"/>
      <c r="RKL116" s="210"/>
      <c r="RKM116" s="210"/>
      <c r="RKN116" s="212"/>
      <c r="RKO116" s="196"/>
      <c r="RKP116" s="197"/>
      <c r="RKQ116" s="209"/>
      <c r="RKR116" s="209"/>
      <c r="RKS116" s="210"/>
      <c r="RKT116" s="210"/>
      <c r="RKU116" s="211"/>
      <c r="RKV116" s="210"/>
      <c r="RKW116" s="210"/>
      <c r="RKX116" s="210"/>
      <c r="RKY116" s="210"/>
      <c r="RKZ116" s="212"/>
      <c r="RLA116" s="196"/>
      <c r="RLB116" s="197"/>
      <c r="RLC116" s="209"/>
      <c r="RLD116" s="209"/>
      <c r="RLE116" s="210"/>
      <c r="RLF116" s="210"/>
      <c r="RLG116" s="211"/>
      <c r="RLH116" s="210"/>
      <c r="RLI116" s="210"/>
      <c r="RLJ116" s="210"/>
      <c r="RLK116" s="210"/>
      <c r="RLL116" s="212"/>
      <c r="RLM116" s="196"/>
      <c r="RLN116" s="197"/>
      <c r="RLO116" s="209"/>
      <c r="RLP116" s="209"/>
      <c r="RLQ116" s="210"/>
      <c r="RLR116" s="210"/>
      <c r="RLS116" s="211"/>
      <c r="RLT116" s="210"/>
      <c r="RLU116" s="210"/>
      <c r="RLV116" s="210"/>
      <c r="RLW116" s="210"/>
      <c r="RLX116" s="212"/>
      <c r="RLY116" s="196"/>
      <c r="RLZ116" s="197"/>
      <c r="RMA116" s="209"/>
      <c r="RMB116" s="209"/>
      <c r="RMC116" s="210"/>
      <c r="RMD116" s="210"/>
      <c r="RME116" s="211"/>
      <c r="RMF116" s="210"/>
      <c r="RMG116" s="210"/>
      <c r="RMH116" s="210"/>
      <c r="RMI116" s="210"/>
      <c r="RMJ116" s="212"/>
      <c r="RMK116" s="196"/>
      <c r="RML116" s="197"/>
      <c r="RMM116" s="209"/>
      <c r="RMN116" s="209"/>
      <c r="RMO116" s="210"/>
      <c r="RMP116" s="210"/>
      <c r="RMQ116" s="211"/>
      <c r="RMR116" s="210"/>
      <c r="RMS116" s="210"/>
      <c r="RMT116" s="210"/>
      <c r="RMU116" s="210"/>
      <c r="RMV116" s="212"/>
      <c r="RMW116" s="196"/>
      <c r="RMX116" s="197"/>
      <c r="RMY116" s="209"/>
      <c r="RMZ116" s="209"/>
      <c r="RNA116" s="210"/>
      <c r="RNB116" s="210"/>
      <c r="RNC116" s="211"/>
      <c r="RND116" s="210"/>
      <c r="RNE116" s="210"/>
      <c r="RNF116" s="210"/>
      <c r="RNG116" s="210"/>
      <c r="RNH116" s="212"/>
      <c r="RNI116" s="196"/>
      <c r="RNJ116" s="197"/>
      <c r="RNK116" s="209"/>
      <c r="RNL116" s="209"/>
      <c r="RNM116" s="210"/>
      <c r="RNN116" s="210"/>
      <c r="RNO116" s="211"/>
      <c r="RNP116" s="210"/>
      <c r="RNQ116" s="210"/>
      <c r="RNR116" s="210"/>
      <c r="RNS116" s="210"/>
      <c r="RNT116" s="212"/>
      <c r="RNU116" s="196"/>
      <c r="RNV116" s="197"/>
      <c r="RNW116" s="209"/>
      <c r="RNX116" s="209"/>
      <c r="RNY116" s="210"/>
      <c r="RNZ116" s="210"/>
      <c r="ROA116" s="211"/>
      <c r="ROB116" s="210"/>
      <c r="ROC116" s="210"/>
      <c r="ROD116" s="210"/>
      <c r="ROE116" s="210"/>
      <c r="ROF116" s="212"/>
      <c r="ROG116" s="196"/>
      <c r="ROH116" s="197"/>
      <c r="ROI116" s="209"/>
      <c r="ROJ116" s="209"/>
      <c r="ROK116" s="210"/>
      <c r="ROL116" s="210"/>
      <c r="ROM116" s="211"/>
      <c r="RON116" s="210"/>
      <c r="ROO116" s="210"/>
      <c r="ROP116" s="210"/>
      <c r="ROQ116" s="210"/>
      <c r="ROR116" s="212"/>
      <c r="ROS116" s="196"/>
      <c r="ROT116" s="197"/>
      <c r="ROU116" s="209"/>
      <c r="ROV116" s="209"/>
      <c r="ROW116" s="210"/>
      <c r="ROX116" s="210"/>
      <c r="ROY116" s="211"/>
      <c r="ROZ116" s="210"/>
      <c r="RPA116" s="210"/>
      <c r="RPB116" s="210"/>
      <c r="RPC116" s="210"/>
      <c r="RPD116" s="212"/>
      <c r="RPE116" s="196"/>
      <c r="RPF116" s="197"/>
      <c r="RPG116" s="209"/>
      <c r="RPH116" s="209"/>
      <c r="RPI116" s="210"/>
      <c r="RPJ116" s="210"/>
      <c r="RPK116" s="211"/>
      <c r="RPL116" s="210"/>
      <c r="RPM116" s="210"/>
      <c r="RPN116" s="210"/>
      <c r="RPO116" s="210"/>
      <c r="RPP116" s="212"/>
      <c r="RPQ116" s="196"/>
      <c r="RPR116" s="197"/>
      <c r="RPS116" s="209"/>
      <c r="RPT116" s="209"/>
      <c r="RPU116" s="210"/>
      <c r="RPV116" s="210"/>
      <c r="RPW116" s="211"/>
      <c r="RPX116" s="210"/>
      <c r="RPY116" s="210"/>
      <c r="RPZ116" s="210"/>
      <c r="RQA116" s="210"/>
      <c r="RQB116" s="212"/>
      <c r="RQC116" s="196"/>
      <c r="RQD116" s="197"/>
      <c r="RQE116" s="209"/>
      <c r="RQF116" s="209"/>
      <c r="RQG116" s="210"/>
      <c r="RQH116" s="210"/>
      <c r="RQI116" s="211"/>
      <c r="RQJ116" s="210"/>
      <c r="RQK116" s="210"/>
      <c r="RQL116" s="210"/>
      <c r="RQM116" s="210"/>
      <c r="RQN116" s="212"/>
      <c r="RQO116" s="196"/>
      <c r="RQP116" s="197"/>
      <c r="RQQ116" s="209"/>
      <c r="RQR116" s="209"/>
      <c r="RQS116" s="210"/>
      <c r="RQT116" s="210"/>
      <c r="RQU116" s="211"/>
      <c r="RQV116" s="210"/>
      <c r="RQW116" s="210"/>
      <c r="RQX116" s="210"/>
      <c r="RQY116" s="210"/>
      <c r="RQZ116" s="212"/>
      <c r="RRA116" s="196"/>
      <c r="RRB116" s="197"/>
      <c r="RRC116" s="209"/>
      <c r="RRD116" s="209"/>
      <c r="RRE116" s="210"/>
      <c r="RRF116" s="210"/>
      <c r="RRG116" s="211"/>
      <c r="RRH116" s="210"/>
      <c r="RRI116" s="210"/>
      <c r="RRJ116" s="210"/>
      <c r="RRK116" s="210"/>
      <c r="RRL116" s="212"/>
      <c r="RRM116" s="196"/>
      <c r="RRN116" s="197"/>
      <c r="RRO116" s="209"/>
      <c r="RRP116" s="209"/>
      <c r="RRQ116" s="210"/>
      <c r="RRR116" s="210"/>
      <c r="RRS116" s="211"/>
      <c r="RRT116" s="210"/>
      <c r="RRU116" s="210"/>
      <c r="RRV116" s="210"/>
      <c r="RRW116" s="210"/>
      <c r="RRX116" s="212"/>
      <c r="RRY116" s="196"/>
      <c r="RRZ116" s="197"/>
      <c r="RSA116" s="209"/>
      <c r="RSB116" s="209"/>
      <c r="RSC116" s="210"/>
      <c r="RSD116" s="210"/>
      <c r="RSE116" s="211"/>
      <c r="RSF116" s="210"/>
      <c r="RSG116" s="210"/>
      <c r="RSH116" s="210"/>
      <c r="RSI116" s="210"/>
      <c r="RSJ116" s="212"/>
      <c r="RSK116" s="196"/>
      <c r="RSL116" s="197"/>
      <c r="RSM116" s="209"/>
      <c r="RSN116" s="209"/>
      <c r="RSO116" s="210"/>
      <c r="RSP116" s="210"/>
      <c r="RSQ116" s="211"/>
      <c r="RSR116" s="210"/>
      <c r="RSS116" s="210"/>
      <c r="RST116" s="210"/>
      <c r="RSU116" s="210"/>
      <c r="RSV116" s="212"/>
      <c r="RSW116" s="196"/>
      <c r="RSX116" s="197"/>
      <c r="RSY116" s="209"/>
      <c r="RSZ116" s="209"/>
      <c r="RTA116" s="210"/>
      <c r="RTB116" s="210"/>
      <c r="RTC116" s="211"/>
      <c r="RTD116" s="210"/>
      <c r="RTE116" s="210"/>
      <c r="RTF116" s="210"/>
      <c r="RTG116" s="210"/>
      <c r="RTH116" s="212"/>
      <c r="RTI116" s="196"/>
      <c r="RTJ116" s="197"/>
      <c r="RTK116" s="209"/>
      <c r="RTL116" s="209"/>
      <c r="RTM116" s="210"/>
      <c r="RTN116" s="210"/>
      <c r="RTO116" s="211"/>
      <c r="RTP116" s="210"/>
      <c r="RTQ116" s="210"/>
      <c r="RTR116" s="210"/>
      <c r="RTS116" s="210"/>
      <c r="RTT116" s="212"/>
      <c r="RTU116" s="196"/>
      <c r="RTV116" s="197"/>
      <c r="RTW116" s="209"/>
      <c r="RTX116" s="209"/>
      <c r="RTY116" s="210"/>
      <c r="RTZ116" s="210"/>
      <c r="RUA116" s="211"/>
      <c r="RUB116" s="210"/>
      <c r="RUC116" s="210"/>
      <c r="RUD116" s="210"/>
      <c r="RUE116" s="210"/>
      <c r="RUF116" s="212"/>
      <c r="RUG116" s="196"/>
      <c r="RUH116" s="197"/>
      <c r="RUI116" s="209"/>
      <c r="RUJ116" s="209"/>
      <c r="RUK116" s="210"/>
      <c r="RUL116" s="210"/>
      <c r="RUM116" s="211"/>
      <c r="RUN116" s="210"/>
      <c r="RUO116" s="210"/>
      <c r="RUP116" s="210"/>
      <c r="RUQ116" s="210"/>
      <c r="RUR116" s="212"/>
      <c r="RUS116" s="196"/>
      <c r="RUT116" s="197"/>
      <c r="RUU116" s="209"/>
      <c r="RUV116" s="209"/>
      <c r="RUW116" s="210"/>
      <c r="RUX116" s="210"/>
      <c r="RUY116" s="211"/>
      <c r="RUZ116" s="210"/>
      <c r="RVA116" s="210"/>
      <c r="RVB116" s="210"/>
      <c r="RVC116" s="210"/>
      <c r="RVD116" s="212"/>
      <c r="RVE116" s="196"/>
      <c r="RVF116" s="197"/>
      <c r="RVG116" s="209"/>
      <c r="RVH116" s="209"/>
      <c r="RVI116" s="210"/>
      <c r="RVJ116" s="210"/>
      <c r="RVK116" s="211"/>
      <c r="RVL116" s="210"/>
      <c r="RVM116" s="210"/>
      <c r="RVN116" s="210"/>
      <c r="RVO116" s="210"/>
      <c r="RVP116" s="212"/>
      <c r="RVQ116" s="196"/>
      <c r="RVR116" s="197"/>
      <c r="RVS116" s="209"/>
      <c r="RVT116" s="209"/>
      <c r="RVU116" s="210"/>
      <c r="RVV116" s="210"/>
      <c r="RVW116" s="211"/>
      <c r="RVX116" s="210"/>
      <c r="RVY116" s="210"/>
      <c r="RVZ116" s="210"/>
      <c r="RWA116" s="210"/>
      <c r="RWB116" s="212"/>
      <c r="RWC116" s="196"/>
      <c r="RWD116" s="197"/>
      <c r="RWE116" s="209"/>
      <c r="RWF116" s="209"/>
      <c r="RWG116" s="210"/>
      <c r="RWH116" s="210"/>
      <c r="RWI116" s="211"/>
      <c r="RWJ116" s="210"/>
      <c r="RWK116" s="210"/>
      <c r="RWL116" s="210"/>
      <c r="RWM116" s="210"/>
      <c r="RWN116" s="212"/>
      <c r="RWO116" s="196"/>
      <c r="RWP116" s="197"/>
      <c r="RWQ116" s="209"/>
      <c r="RWR116" s="209"/>
      <c r="RWS116" s="210"/>
      <c r="RWT116" s="210"/>
      <c r="RWU116" s="211"/>
      <c r="RWV116" s="210"/>
      <c r="RWW116" s="210"/>
      <c r="RWX116" s="210"/>
      <c r="RWY116" s="210"/>
      <c r="RWZ116" s="212"/>
      <c r="RXA116" s="196"/>
      <c r="RXB116" s="197"/>
      <c r="RXC116" s="209"/>
      <c r="RXD116" s="209"/>
      <c r="RXE116" s="210"/>
      <c r="RXF116" s="210"/>
      <c r="RXG116" s="211"/>
      <c r="RXH116" s="210"/>
      <c r="RXI116" s="210"/>
      <c r="RXJ116" s="210"/>
      <c r="RXK116" s="210"/>
      <c r="RXL116" s="212"/>
      <c r="RXM116" s="196"/>
      <c r="RXN116" s="197"/>
      <c r="RXO116" s="209"/>
      <c r="RXP116" s="209"/>
      <c r="RXQ116" s="210"/>
      <c r="RXR116" s="210"/>
      <c r="RXS116" s="211"/>
      <c r="RXT116" s="210"/>
      <c r="RXU116" s="210"/>
      <c r="RXV116" s="210"/>
      <c r="RXW116" s="210"/>
      <c r="RXX116" s="212"/>
      <c r="RXY116" s="196"/>
      <c r="RXZ116" s="197"/>
      <c r="RYA116" s="209"/>
      <c r="RYB116" s="209"/>
      <c r="RYC116" s="210"/>
      <c r="RYD116" s="210"/>
      <c r="RYE116" s="211"/>
      <c r="RYF116" s="210"/>
      <c r="RYG116" s="210"/>
      <c r="RYH116" s="210"/>
      <c r="RYI116" s="210"/>
      <c r="RYJ116" s="212"/>
      <c r="RYK116" s="196"/>
      <c r="RYL116" s="197"/>
      <c r="RYM116" s="209"/>
      <c r="RYN116" s="209"/>
      <c r="RYO116" s="210"/>
      <c r="RYP116" s="210"/>
      <c r="RYQ116" s="211"/>
      <c r="RYR116" s="210"/>
      <c r="RYS116" s="210"/>
      <c r="RYT116" s="210"/>
      <c r="RYU116" s="210"/>
      <c r="RYV116" s="212"/>
      <c r="RYW116" s="196"/>
      <c r="RYX116" s="197"/>
      <c r="RYY116" s="209"/>
      <c r="RYZ116" s="209"/>
      <c r="RZA116" s="210"/>
      <c r="RZB116" s="210"/>
      <c r="RZC116" s="211"/>
      <c r="RZD116" s="210"/>
      <c r="RZE116" s="210"/>
      <c r="RZF116" s="210"/>
      <c r="RZG116" s="210"/>
      <c r="RZH116" s="212"/>
      <c r="RZI116" s="196"/>
      <c r="RZJ116" s="197"/>
      <c r="RZK116" s="209"/>
      <c r="RZL116" s="209"/>
      <c r="RZM116" s="210"/>
      <c r="RZN116" s="210"/>
      <c r="RZO116" s="211"/>
      <c r="RZP116" s="210"/>
      <c r="RZQ116" s="210"/>
      <c r="RZR116" s="210"/>
      <c r="RZS116" s="210"/>
      <c r="RZT116" s="212"/>
      <c r="RZU116" s="196"/>
      <c r="RZV116" s="197"/>
      <c r="RZW116" s="209"/>
      <c r="RZX116" s="209"/>
      <c r="RZY116" s="210"/>
      <c r="RZZ116" s="210"/>
      <c r="SAA116" s="211"/>
      <c r="SAB116" s="210"/>
      <c r="SAC116" s="210"/>
      <c r="SAD116" s="210"/>
      <c r="SAE116" s="210"/>
      <c r="SAF116" s="212"/>
      <c r="SAG116" s="196"/>
      <c r="SAH116" s="197"/>
      <c r="SAI116" s="209"/>
      <c r="SAJ116" s="209"/>
      <c r="SAK116" s="210"/>
      <c r="SAL116" s="210"/>
      <c r="SAM116" s="211"/>
      <c r="SAN116" s="210"/>
      <c r="SAO116" s="210"/>
      <c r="SAP116" s="210"/>
      <c r="SAQ116" s="210"/>
      <c r="SAR116" s="212"/>
      <c r="SAS116" s="196"/>
      <c r="SAT116" s="197"/>
      <c r="SAU116" s="209"/>
      <c r="SAV116" s="209"/>
      <c r="SAW116" s="210"/>
      <c r="SAX116" s="210"/>
      <c r="SAY116" s="211"/>
      <c r="SAZ116" s="210"/>
      <c r="SBA116" s="210"/>
      <c r="SBB116" s="210"/>
      <c r="SBC116" s="210"/>
      <c r="SBD116" s="212"/>
      <c r="SBE116" s="196"/>
      <c r="SBF116" s="197"/>
      <c r="SBG116" s="209"/>
      <c r="SBH116" s="209"/>
      <c r="SBI116" s="210"/>
      <c r="SBJ116" s="210"/>
      <c r="SBK116" s="211"/>
      <c r="SBL116" s="210"/>
      <c r="SBM116" s="210"/>
      <c r="SBN116" s="210"/>
      <c r="SBO116" s="210"/>
      <c r="SBP116" s="212"/>
      <c r="SBQ116" s="196"/>
      <c r="SBR116" s="197"/>
      <c r="SBS116" s="209"/>
      <c r="SBT116" s="209"/>
      <c r="SBU116" s="210"/>
      <c r="SBV116" s="210"/>
      <c r="SBW116" s="211"/>
      <c r="SBX116" s="210"/>
      <c r="SBY116" s="210"/>
      <c r="SBZ116" s="210"/>
      <c r="SCA116" s="210"/>
      <c r="SCB116" s="212"/>
      <c r="SCC116" s="196"/>
      <c r="SCD116" s="197"/>
      <c r="SCE116" s="209"/>
      <c r="SCF116" s="209"/>
      <c r="SCG116" s="210"/>
      <c r="SCH116" s="210"/>
      <c r="SCI116" s="211"/>
      <c r="SCJ116" s="210"/>
      <c r="SCK116" s="210"/>
      <c r="SCL116" s="210"/>
      <c r="SCM116" s="210"/>
      <c r="SCN116" s="212"/>
      <c r="SCO116" s="196"/>
      <c r="SCP116" s="197"/>
      <c r="SCQ116" s="209"/>
      <c r="SCR116" s="209"/>
      <c r="SCS116" s="210"/>
      <c r="SCT116" s="210"/>
      <c r="SCU116" s="211"/>
      <c r="SCV116" s="210"/>
      <c r="SCW116" s="210"/>
      <c r="SCX116" s="210"/>
      <c r="SCY116" s="210"/>
      <c r="SCZ116" s="212"/>
      <c r="SDA116" s="196"/>
      <c r="SDB116" s="197"/>
      <c r="SDC116" s="209"/>
      <c r="SDD116" s="209"/>
      <c r="SDE116" s="210"/>
      <c r="SDF116" s="210"/>
      <c r="SDG116" s="211"/>
      <c r="SDH116" s="210"/>
      <c r="SDI116" s="210"/>
      <c r="SDJ116" s="210"/>
      <c r="SDK116" s="210"/>
      <c r="SDL116" s="212"/>
      <c r="SDM116" s="196"/>
      <c r="SDN116" s="197"/>
      <c r="SDO116" s="209"/>
      <c r="SDP116" s="209"/>
      <c r="SDQ116" s="210"/>
      <c r="SDR116" s="210"/>
      <c r="SDS116" s="211"/>
      <c r="SDT116" s="210"/>
      <c r="SDU116" s="210"/>
      <c r="SDV116" s="210"/>
      <c r="SDW116" s="210"/>
      <c r="SDX116" s="212"/>
      <c r="SDY116" s="196"/>
      <c r="SDZ116" s="197"/>
      <c r="SEA116" s="209"/>
      <c r="SEB116" s="209"/>
      <c r="SEC116" s="210"/>
      <c r="SED116" s="210"/>
      <c r="SEE116" s="211"/>
      <c r="SEF116" s="210"/>
      <c r="SEG116" s="210"/>
      <c r="SEH116" s="210"/>
      <c r="SEI116" s="210"/>
      <c r="SEJ116" s="212"/>
      <c r="SEK116" s="196"/>
      <c r="SEL116" s="197"/>
      <c r="SEM116" s="209"/>
      <c r="SEN116" s="209"/>
      <c r="SEO116" s="210"/>
      <c r="SEP116" s="210"/>
      <c r="SEQ116" s="211"/>
      <c r="SER116" s="210"/>
      <c r="SES116" s="210"/>
      <c r="SET116" s="210"/>
      <c r="SEU116" s="210"/>
      <c r="SEV116" s="212"/>
      <c r="SEW116" s="196"/>
      <c r="SEX116" s="197"/>
      <c r="SEY116" s="209"/>
      <c r="SEZ116" s="209"/>
      <c r="SFA116" s="210"/>
      <c r="SFB116" s="210"/>
      <c r="SFC116" s="211"/>
      <c r="SFD116" s="210"/>
      <c r="SFE116" s="210"/>
      <c r="SFF116" s="210"/>
      <c r="SFG116" s="210"/>
      <c r="SFH116" s="212"/>
      <c r="SFI116" s="196"/>
      <c r="SFJ116" s="197"/>
      <c r="SFK116" s="209"/>
      <c r="SFL116" s="209"/>
      <c r="SFM116" s="210"/>
      <c r="SFN116" s="210"/>
      <c r="SFO116" s="211"/>
      <c r="SFP116" s="210"/>
      <c r="SFQ116" s="210"/>
      <c r="SFR116" s="210"/>
      <c r="SFS116" s="210"/>
      <c r="SFT116" s="212"/>
      <c r="SFU116" s="196"/>
      <c r="SFV116" s="197"/>
      <c r="SFW116" s="209"/>
      <c r="SFX116" s="209"/>
      <c r="SFY116" s="210"/>
      <c r="SFZ116" s="210"/>
      <c r="SGA116" s="211"/>
      <c r="SGB116" s="210"/>
      <c r="SGC116" s="210"/>
      <c r="SGD116" s="210"/>
      <c r="SGE116" s="210"/>
      <c r="SGF116" s="212"/>
      <c r="SGG116" s="196"/>
      <c r="SGH116" s="197"/>
      <c r="SGI116" s="209"/>
      <c r="SGJ116" s="209"/>
      <c r="SGK116" s="210"/>
      <c r="SGL116" s="210"/>
      <c r="SGM116" s="211"/>
      <c r="SGN116" s="210"/>
      <c r="SGO116" s="210"/>
      <c r="SGP116" s="210"/>
      <c r="SGQ116" s="210"/>
      <c r="SGR116" s="212"/>
      <c r="SGS116" s="196"/>
      <c r="SGT116" s="197"/>
      <c r="SGU116" s="209"/>
      <c r="SGV116" s="209"/>
      <c r="SGW116" s="210"/>
      <c r="SGX116" s="210"/>
      <c r="SGY116" s="211"/>
      <c r="SGZ116" s="210"/>
      <c r="SHA116" s="210"/>
      <c r="SHB116" s="210"/>
      <c r="SHC116" s="210"/>
      <c r="SHD116" s="212"/>
      <c r="SHE116" s="196"/>
      <c r="SHF116" s="197"/>
      <c r="SHG116" s="209"/>
      <c r="SHH116" s="209"/>
      <c r="SHI116" s="210"/>
      <c r="SHJ116" s="210"/>
      <c r="SHK116" s="211"/>
      <c r="SHL116" s="210"/>
      <c r="SHM116" s="210"/>
      <c r="SHN116" s="210"/>
      <c r="SHO116" s="210"/>
      <c r="SHP116" s="212"/>
      <c r="SHQ116" s="196"/>
      <c r="SHR116" s="197"/>
      <c r="SHS116" s="209"/>
      <c r="SHT116" s="209"/>
      <c r="SHU116" s="210"/>
      <c r="SHV116" s="210"/>
      <c r="SHW116" s="211"/>
      <c r="SHX116" s="210"/>
      <c r="SHY116" s="210"/>
      <c r="SHZ116" s="210"/>
      <c r="SIA116" s="210"/>
      <c r="SIB116" s="212"/>
      <c r="SIC116" s="196"/>
      <c r="SID116" s="197"/>
      <c r="SIE116" s="209"/>
      <c r="SIF116" s="209"/>
      <c r="SIG116" s="210"/>
      <c r="SIH116" s="210"/>
      <c r="SII116" s="211"/>
      <c r="SIJ116" s="210"/>
      <c r="SIK116" s="210"/>
      <c r="SIL116" s="210"/>
      <c r="SIM116" s="210"/>
      <c r="SIN116" s="212"/>
      <c r="SIO116" s="196"/>
      <c r="SIP116" s="197"/>
      <c r="SIQ116" s="209"/>
      <c r="SIR116" s="209"/>
      <c r="SIS116" s="210"/>
      <c r="SIT116" s="210"/>
      <c r="SIU116" s="211"/>
      <c r="SIV116" s="210"/>
      <c r="SIW116" s="210"/>
      <c r="SIX116" s="210"/>
      <c r="SIY116" s="210"/>
      <c r="SIZ116" s="212"/>
      <c r="SJA116" s="196"/>
      <c r="SJB116" s="197"/>
      <c r="SJC116" s="209"/>
      <c r="SJD116" s="209"/>
      <c r="SJE116" s="210"/>
      <c r="SJF116" s="210"/>
      <c r="SJG116" s="211"/>
      <c r="SJH116" s="210"/>
      <c r="SJI116" s="210"/>
      <c r="SJJ116" s="210"/>
      <c r="SJK116" s="210"/>
      <c r="SJL116" s="212"/>
      <c r="SJM116" s="196"/>
      <c r="SJN116" s="197"/>
      <c r="SJO116" s="209"/>
      <c r="SJP116" s="209"/>
      <c r="SJQ116" s="210"/>
      <c r="SJR116" s="210"/>
      <c r="SJS116" s="211"/>
      <c r="SJT116" s="210"/>
      <c r="SJU116" s="210"/>
      <c r="SJV116" s="210"/>
      <c r="SJW116" s="210"/>
      <c r="SJX116" s="212"/>
      <c r="SJY116" s="196"/>
      <c r="SJZ116" s="197"/>
      <c r="SKA116" s="209"/>
      <c r="SKB116" s="209"/>
      <c r="SKC116" s="210"/>
      <c r="SKD116" s="210"/>
      <c r="SKE116" s="211"/>
      <c r="SKF116" s="210"/>
      <c r="SKG116" s="210"/>
      <c r="SKH116" s="210"/>
      <c r="SKI116" s="210"/>
      <c r="SKJ116" s="212"/>
      <c r="SKK116" s="196"/>
      <c r="SKL116" s="197"/>
      <c r="SKM116" s="209"/>
      <c r="SKN116" s="209"/>
      <c r="SKO116" s="210"/>
      <c r="SKP116" s="210"/>
      <c r="SKQ116" s="211"/>
      <c r="SKR116" s="210"/>
      <c r="SKS116" s="210"/>
      <c r="SKT116" s="210"/>
      <c r="SKU116" s="210"/>
      <c r="SKV116" s="212"/>
      <c r="SKW116" s="196"/>
      <c r="SKX116" s="197"/>
      <c r="SKY116" s="209"/>
      <c r="SKZ116" s="209"/>
      <c r="SLA116" s="210"/>
      <c r="SLB116" s="210"/>
      <c r="SLC116" s="211"/>
      <c r="SLD116" s="210"/>
      <c r="SLE116" s="210"/>
      <c r="SLF116" s="210"/>
      <c r="SLG116" s="210"/>
      <c r="SLH116" s="212"/>
      <c r="SLI116" s="196"/>
      <c r="SLJ116" s="197"/>
      <c r="SLK116" s="209"/>
      <c r="SLL116" s="209"/>
      <c r="SLM116" s="210"/>
      <c r="SLN116" s="210"/>
      <c r="SLO116" s="211"/>
      <c r="SLP116" s="210"/>
      <c r="SLQ116" s="210"/>
      <c r="SLR116" s="210"/>
      <c r="SLS116" s="210"/>
      <c r="SLT116" s="212"/>
      <c r="SLU116" s="196"/>
      <c r="SLV116" s="197"/>
      <c r="SLW116" s="209"/>
      <c r="SLX116" s="209"/>
      <c r="SLY116" s="210"/>
      <c r="SLZ116" s="210"/>
      <c r="SMA116" s="211"/>
      <c r="SMB116" s="210"/>
      <c r="SMC116" s="210"/>
      <c r="SMD116" s="210"/>
      <c r="SME116" s="210"/>
      <c r="SMF116" s="212"/>
      <c r="SMG116" s="196"/>
      <c r="SMH116" s="197"/>
      <c r="SMI116" s="209"/>
      <c r="SMJ116" s="209"/>
      <c r="SMK116" s="210"/>
      <c r="SML116" s="210"/>
      <c r="SMM116" s="211"/>
      <c r="SMN116" s="210"/>
      <c r="SMO116" s="210"/>
      <c r="SMP116" s="210"/>
      <c r="SMQ116" s="210"/>
      <c r="SMR116" s="212"/>
      <c r="SMS116" s="196"/>
      <c r="SMT116" s="197"/>
      <c r="SMU116" s="209"/>
      <c r="SMV116" s="209"/>
      <c r="SMW116" s="210"/>
      <c r="SMX116" s="210"/>
      <c r="SMY116" s="211"/>
      <c r="SMZ116" s="210"/>
      <c r="SNA116" s="210"/>
      <c r="SNB116" s="210"/>
      <c r="SNC116" s="210"/>
      <c r="SND116" s="212"/>
      <c r="SNE116" s="196"/>
      <c r="SNF116" s="197"/>
      <c r="SNG116" s="209"/>
      <c r="SNH116" s="209"/>
      <c r="SNI116" s="210"/>
      <c r="SNJ116" s="210"/>
      <c r="SNK116" s="211"/>
      <c r="SNL116" s="210"/>
      <c r="SNM116" s="210"/>
      <c r="SNN116" s="210"/>
      <c r="SNO116" s="210"/>
      <c r="SNP116" s="212"/>
      <c r="SNQ116" s="196"/>
      <c r="SNR116" s="197"/>
      <c r="SNS116" s="209"/>
      <c r="SNT116" s="209"/>
      <c r="SNU116" s="210"/>
      <c r="SNV116" s="210"/>
      <c r="SNW116" s="211"/>
      <c r="SNX116" s="210"/>
      <c r="SNY116" s="210"/>
      <c r="SNZ116" s="210"/>
      <c r="SOA116" s="210"/>
      <c r="SOB116" s="212"/>
      <c r="SOC116" s="196"/>
      <c r="SOD116" s="197"/>
      <c r="SOE116" s="209"/>
      <c r="SOF116" s="209"/>
      <c r="SOG116" s="210"/>
      <c r="SOH116" s="210"/>
      <c r="SOI116" s="211"/>
      <c r="SOJ116" s="210"/>
      <c r="SOK116" s="210"/>
      <c r="SOL116" s="210"/>
      <c r="SOM116" s="210"/>
      <c r="SON116" s="212"/>
      <c r="SOO116" s="196"/>
      <c r="SOP116" s="197"/>
      <c r="SOQ116" s="209"/>
      <c r="SOR116" s="209"/>
      <c r="SOS116" s="210"/>
      <c r="SOT116" s="210"/>
      <c r="SOU116" s="211"/>
      <c r="SOV116" s="210"/>
      <c r="SOW116" s="210"/>
      <c r="SOX116" s="210"/>
      <c r="SOY116" s="210"/>
      <c r="SOZ116" s="212"/>
      <c r="SPA116" s="196"/>
      <c r="SPB116" s="197"/>
      <c r="SPC116" s="209"/>
      <c r="SPD116" s="209"/>
      <c r="SPE116" s="210"/>
      <c r="SPF116" s="210"/>
      <c r="SPG116" s="211"/>
      <c r="SPH116" s="210"/>
      <c r="SPI116" s="210"/>
      <c r="SPJ116" s="210"/>
      <c r="SPK116" s="210"/>
      <c r="SPL116" s="212"/>
      <c r="SPM116" s="196"/>
      <c r="SPN116" s="197"/>
      <c r="SPO116" s="209"/>
      <c r="SPP116" s="209"/>
      <c r="SPQ116" s="210"/>
      <c r="SPR116" s="210"/>
      <c r="SPS116" s="211"/>
      <c r="SPT116" s="210"/>
      <c r="SPU116" s="210"/>
      <c r="SPV116" s="210"/>
      <c r="SPW116" s="210"/>
      <c r="SPX116" s="212"/>
      <c r="SPY116" s="196"/>
      <c r="SPZ116" s="197"/>
      <c r="SQA116" s="209"/>
      <c r="SQB116" s="209"/>
      <c r="SQC116" s="210"/>
      <c r="SQD116" s="210"/>
      <c r="SQE116" s="211"/>
      <c r="SQF116" s="210"/>
      <c r="SQG116" s="210"/>
      <c r="SQH116" s="210"/>
      <c r="SQI116" s="210"/>
      <c r="SQJ116" s="212"/>
      <c r="SQK116" s="196"/>
      <c r="SQL116" s="197"/>
      <c r="SQM116" s="209"/>
      <c r="SQN116" s="209"/>
      <c r="SQO116" s="210"/>
      <c r="SQP116" s="210"/>
      <c r="SQQ116" s="211"/>
      <c r="SQR116" s="210"/>
      <c r="SQS116" s="210"/>
      <c r="SQT116" s="210"/>
      <c r="SQU116" s="210"/>
      <c r="SQV116" s="212"/>
      <c r="SQW116" s="196"/>
      <c r="SQX116" s="197"/>
      <c r="SQY116" s="209"/>
      <c r="SQZ116" s="209"/>
      <c r="SRA116" s="210"/>
      <c r="SRB116" s="210"/>
      <c r="SRC116" s="211"/>
      <c r="SRD116" s="210"/>
      <c r="SRE116" s="210"/>
      <c r="SRF116" s="210"/>
      <c r="SRG116" s="210"/>
      <c r="SRH116" s="212"/>
      <c r="SRI116" s="196"/>
      <c r="SRJ116" s="197"/>
      <c r="SRK116" s="209"/>
      <c r="SRL116" s="209"/>
      <c r="SRM116" s="210"/>
      <c r="SRN116" s="210"/>
      <c r="SRO116" s="211"/>
      <c r="SRP116" s="210"/>
      <c r="SRQ116" s="210"/>
      <c r="SRR116" s="210"/>
      <c r="SRS116" s="210"/>
      <c r="SRT116" s="212"/>
      <c r="SRU116" s="196"/>
      <c r="SRV116" s="197"/>
      <c r="SRW116" s="209"/>
      <c r="SRX116" s="209"/>
      <c r="SRY116" s="210"/>
      <c r="SRZ116" s="210"/>
      <c r="SSA116" s="211"/>
      <c r="SSB116" s="210"/>
      <c r="SSC116" s="210"/>
      <c r="SSD116" s="210"/>
      <c r="SSE116" s="210"/>
      <c r="SSF116" s="212"/>
      <c r="SSG116" s="196"/>
      <c r="SSH116" s="197"/>
      <c r="SSI116" s="209"/>
      <c r="SSJ116" s="209"/>
      <c r="SSK116" s="210"/>
      <c r="SSL116" s="210"/>
      <c r="SSM116" s="211"/>
      <c r="SSN116" s="210"/>
      <c r="SSO116" s="210"/>
      <c r="SSP116" s="210"/>
      <c r="SSQ116" s="210"/>
      <c r="SSR116" s="212"/>
      <c r="SSS116" s="196"/>
      <c r="SST116" s="197"/>
      <c r="SSU116" s="209"/>
      <c r="SSV116" s="209"/>
      <c r="SSW116" s="210"/>
      <c r="SSX116" s="210"/>
      <c r="SSY116" s="211"/>
      <c r="SSZ116" s="210"/>
      <c r="STA116" s="210"/>
      <c r="STB116" s="210"/>
      <c r="STC116" s="210"/>
      <c r="STD116" s="212"/>
      <c r="STE116" s="196"/>
      <c r="STF116" s="197"/>
      <c r="STG116" s="209"/>
      <c r="STH116" s="209"/>
      <c r="STI116" s="210"/>
      <c r="STJ116" s="210"/>
      <c r="STK116" s="211"/>
      <c r="STL116" s="210"/>
      <c r="STM116" s="210"/>
      <c r="STN116" s="210"/>
      <c r="STO116" s="210"/>
      <c r="STP116" s="212"/>
      <c r="STQ116" s="196"/>
      <c r="STR116" s="197"/>
      <c r="STS116" s="209"/>
      <c r="STT116" s="209"/>
      <c r="STU116" s="210"/>
      <c r="STV116" s="210"/>
      <c r="STW116" s="211"/>
      <c r="STX116" s="210"/>
      <c r="STY116" s="210"/>
      <c r="STZ116" s="210"/>
      <c r="SUA116" s="210"/>
      <c r="SUB116" s="212"/>
      <c r="SUC116" s="196"/>
      <c r="SUD116" s="197"/>
      <c r="SUE116" s="209"/>
      <c r="SUF116" s="209"/>
      <c r="SUG116" s="210"/>
      <c r="SUH116" s="210"/>
      <c r="SUI116" s="211"/>
      <c r="SUJ116" s="210"/>
      <c r="SUK116" s="210"/>
      <c r="SUL116" s="210"/>
      <c r="SUM116" s="210"/>
      <c r="SUN116" s="212"/>
      <c r="SUO116" s="196"/>
      <c r="SUP116" s="197"/>
      <c r="SUQ116" s="209"/>
      <c r="SUR116" s="209"/>
      <c r="SUS116" s="210"/>
      <c r="SUT116" s="210"/>
      <c r="SUU116" s="211"/>
      <c r="SUV116" s="210"/>
      <c r="SUW116" s="210"/>
      <c r="SUX116" s="210"/>
      <c r="SUY116" s="210"/>
      <c r="SUZ116" s="212"/>
      <c r="SVA116" s="196"/>
      <c r="SVB116" s="197"/>
      <c r="SVC116" s="209"/>
      <c r="SVD116" s="209"/>
      <c r="SVE116" s="210"/>
      <c r="SVF116" s="210"/>
      <c r="SVG116" s="211"/>
      <c r="SVH116" s="210"/>
      <c r="SVI116" s="210"/>
      <c r="SVJ116" s="210"/>
      <c r="SVK116" s="210"/>
      <c r="SVL116" s="212"/>
      <c r="SVM116" s="196"/>
      <c r="SVN116" s="197"/>
      <c r="SVO116" s="209"/>
      <c r="SVP116" s="209"/>
      <c r="SVQ116" s="210"/>
      <c r="SVR116" s="210"/>
      <c r="SVS116" s="211"/>
      <c r="SVT116" s="210"/>
      <c r="SVU116" s="210"/>
      <c r="SVV116" s="210"/>
      <c r="SVW116" s="210"/>
      <c r="SVX116" s="212"/>
      <c r="SVY116" s="196"/>
      <c r="SVZ116" s="197"/>
      <c r="SWA116" s="209"/>
      <c r="SWB116" s="209"/>
      <c r="SWC116" s="210"/>
      <c r="SWD116" s="210"/>
      <c r="SWE116" s="211"/>
      <c r="SWF116" s="210"/>
      <c r="SWG116" s="210"/>
      <c r="SWH116" s="210"/>
      <c r="SWI116" s="210"/>
      <c r="SWJ116" s="212"/>
      <c r="SWK116" s="196"/>
      <c r="SWL116" s="197"/>
      <c r="SWM116" s="209"/>
      <c r="SWN116" s="209"/>
      <c r="SWO116" s="210"/>
      <c r="SWP116" s="210"/>
      <c r="SWQ116" s="211"/>
      <c r="SWR116" s="210"/>
      <c r="SWS116" s="210"/>
      <c r="SWT116" s="210"/>
      <c r="SWU116" s="210"/>
      <c r="SWV116" s="212"/>
      <c r="SWW116" s="196"/>
      <c r="SWX116" s="197"/>
      <c r="SWY116" s="209"/>
      <c r="SWZ116" s="209"/>
      <c r="SXA116" s="210"/>
      <c r="SXB116" s="210"/>
      <c r="SXC116" s="211"/>
      <c r="SXD116" s="210"/>
      <c r="SXE116" s="210"/>
      <c r="SXF116" s="210"/>
      <c r="SXG116" s="210"/>
      <c r="SXH116" s="212"/>
      <c r="SXI116" s="196"/>
      <c r="SXJ116" s="197"/>
      <c r="SXK116" s="209"/>
      <c r="SXL116" s="209"/>
      <c r="SXM116" s="210"/>
      <c r="SXN116" s="210"/>
      <c r="SXO116" s="211"/>
      <c r="SXP116" s="210"/>
      <c r="SXQ116" s="210"/>
      <c r="SXR116" s="210"/>
      <c r="SXS116" s="210"/>
      <c r="SXT116" s="212"/>
      <c r="SXU116" s="196"/>
      <c r="SXV116" s="197"/>
      <c r="SXW116" s="209"/>
      <c r="SXX116" s="209"/>
      <c r="SXY116" s="210"/>
      <c r="SXZ116" s="210"/>
      <c r="SYA116" s="211"/>
      <c r="SYB116" s="210"/>
      <c r="SYC116" s="210"/>
      <c r="SYD116" s="210"/>
      <c r="SYE116" s="210"/>
      <c r="SYF116" s="212"/>
      <c r="SYG116" s="196"/>
      <c r="SYH116" s="197"/>
      <c r="SYI116" s="209"/>
      <c r="SYJ116" s="209"/>
      <c r="SYK116" s="210"/>
      <c r="SYL116" s="210"/>
      <c r="SYM116" s="211"/>
      <c r="SYN116" s="210"/>
      <c r="SYO116" s="210"/>
      <c r="SYP116" s="210"/>
      <c r="SYQ116" s="210"/>
      <c r="SYR116" s="212"/>
      <c r="SYS116" s="196"/>
      <c r="SYT116" s="197"/>
      <c r="SYU116" s="209"/>
      <c r="SYV116" s="209"/>
      <c r="SYW116" s="210"/>
      <c r="SYX116" s="210"/>
      <c r="SYY116" s="211"/>
      <c r="SYZ116" s="210"/>
      <c r="SZA116" s="210"/>
      <c r="SZB116" s="210"/>
      <c r="SZC116" s="210"/>
      <c r="SZD116" s="212"/>
      <c r="SZE116" s="196"/>
      <c r="SZF116" s="197"/>
      <c r="SZG116" s="209"/>
      <c r="SZH116" s="209"/>
      <c r="SZI116" s="210"/>
      <c r="SZJ116" s="210"/>
      <c r="SZK116" s="211"/>
      <c r="SZL116" s="210"/>
      <c r="SZM116" s="210"/>
      <c r="SZN116" s="210"/>
      <c r="SZO116" s="210"/>
      <c r="SZP116" s="212"/>
      <c r="SZQ116" s="196"/>
      <c r="SZR116" s="197"/>
      <c r="SZS116" s="209"/>
      <c r="SZT116" s="209"/>
      <c r="SZU116" s="210"/>
      <c r="SZV116" s="210"/>
      <c r="SZW116" s="211"/>
      <c r="SZX116" s="210"/>
      <c r="SZY116" s="210"/>
      <c r="SZZ116" s="210"/>
      <c r="TAA116" s="210"/>
      <c r="TAB116" s="212"/>
      <c r="TAC116" s="196"/>
      <c r="TAD116" s="197"/>
      <c r="TAE116" s="209"/>
      <c r="TAF116" s="209"/>
      <c r="TAG116" s="210"/>
      <c r="TAH116" s="210"/>
      <c r="TAI116" s="211"/>
      <c r="TAJ116" s="210"/>
      <c r="TAK116" s="210"/>
      <c r="TAL116" s="210"/>
      <c r="TAM116" s="210"/>
      <c r="TAN116" s="212"/>
      <c r="TAO116" s="196"/>
      <c r="TAP116" s="197"/>
      <c r="TAQ116" s="209"/>
      <c r="TAR116" s="209"/>
      <c r="TAS116" s="210"/>
      <c r="TAT116" s="210"/>
      <c r="TAU116" s="211"/>
      <c r="TAV116" s="210"/>
      <c r="TAW116" s="210"/>
      <c r="TAX116" s="210"/>
      <c r="TAY116" s="210"/>
      <c r="TAZ116" s="212"/>
      <c r="TBA116" s="196"/>
      <c r="TBB116" s="197"/>
      <c r="TBC116" s="209"/>
      <c r="TBD116" s="209"/>
      <c r="TBE116" s="210"/>
      <c r="TBF116" s="210"/>
      <c r="TBG116" s="211"/>
      <c r="TBH116" s="210"/>
      <c r="TBI116" s="210"/>
      <c r="TBJ116" s="210"/>
      <c r="TBK116" s="210"/>
      <c r="TBL116" s="212"/>
      <c r="TBM116" s="196"/>
      <c r="TBN116" s="197"/>
      <c r="TBO116" s="209"/>
      <c r="TBP116" s="209"/>
      <c r="TBQ116" s="210"/>
      <c r="TBR116" s="210"/>
      <c r="TBS116" s="211"/>
      <c r="TBT116" s="210"/>
      <c r="TBU116" s="210"/>
      <c r="TBV116" s="210"/>
      <c r="TBW116" s="210"/>
      <c r="TBX116" s="212"/>
      <c r="TBY116" s="196"/>
      <c r="TBZ116" s="197"/>
      <c r="TCA116" s="209"/>
      <c r="TCB116" s="209"/>
      <c r="TCC116" s="210"/>
      <c r="TCD116" s="210"/>
      <c r="TCE116" s="211"/>
      <c r="TCF116" s="210"/>
      <c r="TCG116" s="210"/>
      <c r="TCH116" s="210"/>
      <c r="TCI116" s="210"/>
      <c r="TCJ116" s="212"/>
      <c r="TCK116" s="196"/>
      <c r="TCL116" s="197"/>
      <c r="TCM116" s="209"/>
      <c r="TCN116" s="209"/>
      <c r="TCO116" s="210"/>
      <c r="TCP116" s="210"/>
      <c r="TCQ116" s="211"/>
      <c r="TCR116" s="210"/>
      <c r="TCS116" s="210"/>
      <c r="TCT116" s="210"/>
      <c r="TCU116" s="210"/>
      <c r="TCV116" s="212"/>
      <c r="TCW116" s="196"/>
      <c r="TCX116" s="197"/>
      <c r="TCY116" s="209"/>
      <c r="TCZ116" s="209"/>
      <c r="TDA116" s="210"/>
      <c r="TDB116" s="210"/>
      <c r="TDC116" s="211"/>
      <c r="TDD116" s="210"/>
      <c r="TDE116" s="210"/>
      <c r="TDF116" s="210"/>
      <c r="TDG116" s="210"/>
      <c r="TDH116" s="212"/>
      <c r="TDI116" s="196"/>
      <c r="TDJ116" s="197"/>
      <c r="TDK116" s="209"/>
      <c r="TDL116" s="209"/>
      <c r="TDM116" s="210"/>
      <c r="TDN116" s="210"/>
      <c r="TDO116" s="211"/>
      <c r="TDP116" s="210"/>
      <c r="TDQ116" s="210"/>
      <c r="TDR116" s="210"/>
      <c r="TDS116" s="210"/>
      <c r="TDT116" s="212"/>
      <c r="TDU116" s="196"/>
      <c r="TDV116" s="197"/>
      <c r="TDW116" s="209"/>
      <c r="TDX116" s="209"/>
      <c r="TDY116" s="210"/>
      <c r="TDZ116" s="210"/>
      <c r="TEA116" s="211"/>
      <c r="TEB116" s="210"/>
      <c r="TEC116" s="210"/>
      <c r="TED116" s="210"/>
      <c r="TEE116" s="210"/>
      <c r="TEF116" s="212"/>
      <c r="TEG116" s="196"/>
      <c r="TEH116" s="197"/>
      <c r="TEI116" s="209"/>
      <c r="TEJ116" s="209"/>
      <c r="TEK116" s="210"/>
      <c r="TEL116" s="210"/>
      <c r="TEM116" s="211"/>
      <c r="TEN116" s="210"/>
      <c r="TEO116" s="210"/>
      <c r="TEP116" s="210"/>
      <c r="TEQ116" s="210"/>
      <c r="TER116" s="212"/>
      <c r="TES116" s="196"/>
      <c r="TET116" s="197"/>
      <c r="TEU116" s="209"/>
      <c r="TEV116" s="209"/>
      <c r="TEW116" s="210"/>
      <c r="TEX116" s="210"/>
      <c r="TEY116" s="211"/>
      <c r="TEZ116" s="210"/>
      <c r="TFA116" s="210"/>
      <c r="TFB116" s="210"/>
      <c r="TFC116" s="210"/>
      <c r="TFD116" s="212"/>
      <c r="TFE116" s="196"/>
      <c r="TFF116" s="197"/>
      <c r="TFG116" s="209"/>
      <c r="TFH116" s="209"/>
      <c r="TFI116" s="210"/>
      <c r="TFJ116" s="210"/>
      <c r="TFK116" s="211"/>
      <c r="TFL116" s="210"/>
      <c r="TFM116" s="210"/>
      <c r="TFN116" s="210"/>
      <c r="TFO116" s="210"/>
      <c r="TFP116" s="212"/>
      <c r="TFQ116" s="196"/>
      <c r="TFR116" s="197"/>
      <c r="TFS116" s="209"/>
      <c r="TFT116" s="209"/>
      <c r="TFU116" s="210"/>
      <c r="TFV116" s="210"/>
      <c r="TFW116" s="211"/>
      <c r="TFX116" s="210"/>
      <c r="TFY116" s="210"/>
      <c r="TFZ116" s="210"/>
      <c r="TGA116" s="210"/>
      <c r="TGB116" s="212"/>
      <c r="TGC116" s="196"/>
      <c r="TGD116" s="197"/>
      <c r="TGE116" s="209"/>
      <c r="TGF116" s="209"/>
      <c r="TGG116" s="210"/>
      <c r="TGH116" s="210"/>
      <c r="TGI116" s="211"/>
      <c r="TGJ116" s="210"/>
      <c r="TGK116" s="210"/>
      <c r="TGL116" s="210"/>
      <c r="TGM116" s="210"/>
      <c r="TGN116" s="212"/>
      <c r="TGO116" s="196"/>
      <c r="TGP116" s="197"/>
      <c r="TGQ116" s="209"/>
      <c r="TGR116" s="209"/>
      <c r="TGS116" s="210"/>
      <c r="TGT116" s="210"/>
      <c r="TGU116" s="211"/>
      <c r="TGV116" s="210"/>
      <c r="TGW116" s="210"/>
      <c r="TGX116" s="210"/>
      <c r="TGY116" s="210"/>
      <c r="TGZ116" s="212"/>
      <c r="THA116" s="196"/>
      <c r="THB116" s="197"/>
      <c r="THC116" s="209"/>
      <c r="THD116" s="209"/>
      <c r="THE116" s="210"/>
      <c r="THF116" s="210"/>
      <c r="THG116" s="211"/>
      <c r="THH116" s="210"/>
      <c r="THI116" s="210"/>
      <c r="THJ116" s="210"/>
      <c r="THK116" s="210"/>
      <c r="THL116" s="212"/>
      <c r="THM116" s="196"/>
      <c r="THN116" s="197"/>
      <c r="THO116" s="209"/>
      <c r="THP116" s="209"/>
      <c r="THQ116" s="210"/>
      <c r="THR116" s="210"/>
      <c r="THS116" s="211"/>
      <c r="THT116" s="210"/>
      <c r="THU116" s="210"/>
      <c r="THV116" s="210"/>
      <c r="THW116" s="210"/>
      <c r="THX116" s="212"/>
      <c r="THY116" s="196"/>
      <c r="THZ116" s="197"/>
      <c r="TIA116" s="209"/>
      <c r="TIB116" s="209"/>
      <c r="TIC116" s="210"/>
      <c r="TID116" s="210"/>
      <c r="TIE116" s="211"/>
      <c r="TIF116" s="210"/>
      <c r="TIG116" s="210"/>
      <c r="TIH116" s="210"/>
      <c r="TII116" s="210"/>
      <c r="TIJ116" s="212"/>
      <c r="TIK116" s="196"/>
      <c r="TIL116" s="197"/>
      <c r="TIM116" s="209"/>
      <c r="TIN116" s="209"/>
      <c r="TIO116" s="210"/>
      <c r="TIP116" s="210"/>
      <c r="TIQ116" s="211"/>
      <c r="TIR116" s="210"/>
      <c r="TIS116" s="210"/>
      <c r="TIT116" s="210"/>
      <c r="TIU116" s="210"/>
      <c r="TIV116" s="212"/>
      <c r="TIW116" s="196"/>
      <c r="TIX116" s="197"/>
      <c r="TIY116" s="209"/>
      <c r="TIZ116" s="209"/>
      <c r="TJA116" s="210"/>
      <c r="TJB116" s="210"/>
      <c r="TJC116" s="211"/>
      <c r="TJD116" s="210"/>
      <c r="TJE116" s="210"/>
      <c r="TJF116" s="210"/>
      <c r="TJG116" s="210"/>
      <c r="TJH116" s="212"/>
      <c r="TJI116" s="196"/>
      <c r="TJJ116" s="197"/>
      <c r="TJK116" s="209"/>
      <c r="TJL116" s="209"/>
      <c r="TJM116" s="210"/>
      <c r="TJN116" s="210"/>
      <c r="TJO116" s="211"/>
      <c r="TJP116" s="210"/>
      <c r="TJQ116" s="210"/>
      <c r="TJR116" s="210"/>
      <c r="TJS116" s="210"/>
      <c r="TJT116" s="212"/>
      <c r="TJU116" s="196"/>
      <c r="TJV116" s="197"/>
      <c r="TJW116" s="209"/>
      <c r="TJX116" s="209"/>
      <c r="TJY116" s="210"/>
      <c r="TJZ116" s="210"/>
      <c r="TKA116" s="211"/>
      <c r="TKB116" s="210"/>
      <c r="TKC116" s="210"/>
      <c r="TKD116" s="210"/>
      <c r="TKE116" s="210"/>
      <c r="TKF116" s="212"/>
      <c r="TKG116" s="196"/>
      <c r="TKH116" s="197"/>
      <c r="TKI116" s="209"/>
      <c r="TKJ116" s="209"/>
      <c r="TKK116" s="210"/>
      <c r="TKL116" s="210"/>
      <c r="TKM116" s="211"/>
      <c r="TKN116" s="210"/>
      <c r="TKO116" s="210"/>
      <c r="TKP116" s="210"/>
      <c r="TKQ116" s="210"/>
      <c r="TKR116" s="212"/>
      <c r="TKS116" s="196"/>
      <c r="TKT116" s="197"/>
      <c r="TKU116" s="209"/>
      <c r="TKV116" s="209"/>
      <c r="TKW116" s="210"/>
      <c r="TKX116" s="210"/>
      <c r="TKY116" s="211"/>
      <c r="TKZ116" s="210"/>
      <c r="TLA116" s="210"/>
      <c r="TLB116" s="210"/>
      <c r="TLC116" s="210"/>
      <c r="TLD116" s="212"/>
      <c r="TLE116" s="196"/>
      <c r="TLF116" s="197"/>
      <c r="TLG116" s="209"/>
      <c r="TLH116" s="209"/>
      <c r="TLI116" s="210"/>
      <c r="TLJ116" s="210"/>
      <c r="TLK116" s="211"/>
      <c r="TLL116" s="210"/>
      <c r="TLM116" s="210"/>
      <c r="TLN116" s="210"/>
      <c r="TLO116" s="210"/>
      <c r="TLP116" s="212"/>
      <c r="TLQ116" s="196"/>
      <c r="TLR116" s="197"/>
      <c r="TLS116" s="209"/>
      <c r="TLT116" s="209"/>
      <c r="TLU116" s="210"/>
      <c r="TLV116" s="210"/>
      <c r="TLW116" s="211"/>
      <c r="TLX116" s="210"/>
      <c r="TLY116" s="210"/>
      <c r="TLZ116" s="210"/>
      <c r="TMA116" s="210"/>
      <c r="TMB116" s="212"/>
      <c r="TMC116" s="196"/>
      <c r="TMD116" s="197"/>
      <c r="TME116" s="209"/>
      <c r="TMF116" s="209"/>
      <c r="TMG116" s="210"/>
      <c r="TMH116" s="210"/>
      <c r="TMI116" s="211"/>
      <c r="TMJ116" s="210"/>
      <c r="TMK116" s="210"/>
      <c r="TML116" s="210"/>
      <c r="TMM116" s="210"/>
      <c r="TMN116" s="212"/>
      <c r="TMO116" s="196"/>
      <c r="TMP116" s="197"/>
      <c r="TMQ116" s="209"/>
      <c r="TMR116" s="209"/>
      <c r="TMS116" s="210"/>
      <c r="TMT116" s="210"/>
      <c r="TMU116" s="211"/>
      <c r="TMV116" s="210"/>
      <c r="TMW116" s="210"/>
      <c r="TMX116" s="210"/>
      <c r="TMY116" s="210"/>
      <c r="TMZ116" s="212"/>
      <c r="TNA116" s="196"/>
      <c r="TNB116" s="197"/>
      <c r="TNC116" s="209"/>
      <c r="TND116" s="209"/>
      <c r="TNE116" s="210"/>
      <c r="TNF116" s="210"/>
      <c r="TNG116" s="211"/>
      <c r="TNH116" s="210"/>
      <c r="TNI116" s="210"/>
      <c r="TNJ116" s="210"/>
      <c r="TNK116" s="210"/>
      <c r="TNL116" s="212"/>
      <c r="TNM116" s="196"/>
      <c r="TNN116" s="197"/>
      <c r="TNO116" s="209"/>
      <c r="TNP116" s="209"/>
      <c r="TNQ116" s="210"/>
      <c r="TNR116" s="210"/>
      <c r="TNS116" s="211"/>
      <c r="TNT116" s="210"/>
      <c r="TNU116" s="210"/>
      <c r="TNV116" s="210"/>
      <c r="TNW116" s="210"/>
      <c r="TNX116" s="212"/>
      <c r="TNY116" s="196"/>
      <c r="TNZ116" s="197"/>
      <c r="TOA116" s="209"/>
      <c r="TOB116" s="209"/>
      <c r="TOC116" s="210"/>
      <c r="TOD116" s="210"/>
      <c r="TOE116" s="211"/>
      <c r="TOF116" s="210"/>
      <c r="TOG116" s="210"/>
      <c r="TOH116" s="210"/>
      <c r="TOI116" s="210"/>
      <c r="TOJ116" s="212"/>
      <c r="TOK116" s="196"/>
      <c r="TOL116" s="197"/>
      <c r="TOM116" s="209"/>
      <c r="TON116" s="209"/>
      <c r="TOO116" s="210"/>
      <c r="TOP116" s="210"/>
      <c r="TOQ116" s="211"/>
      <c r="TOR116" s="210"/>
      <c r="TOS116" s="210"/>
      <c r="TOT116" s="210"/>
      <c r="TOU116" s="210"/>
      <c r="TOV116" s="212"/>
      <c r="TOW116" s="196"/>
      <c r="TOX116" s="197"/>
      <c r="TOY116" s="209"/>
      <c r="TOZ116" s="209"/>
      <c r="TPA116" s="210"/>
      <c r="TPB116" s="210"/>
      <c r="TPC116" s="211"/>
      <c r="TPD116" s="210"/>
      <c r="TPE116" s="210"/>
      <c r="TPF116" s="210"/>
      <c r="TPG116" s="210"/>
      <c r="TPH116" s="212"/>
      <c r="TPI116" s="196"/>
      <c r="TPJ116" s="197"/>
      <c r="TPK116" s="209"/>
      <c r="TPL116" s="209"/>
      <c r="TPM116" s="210"/>
      <c r="TPN116" s="210"/>
      <c r="TPO116" s="211"/>
      <c r="TPP116" s="210"/>
      <c r="TPQ116" s="210"/>
      <c r="TPR116" s="210"/>
      <c r="TPS116" s="210"/>
      <c r="TPT116" s="212"/>
      <c r="TPU116" s="196"/>
      <c r="TPV116" s="197"/>
      <c r="TPW116" s="209"/>
      <c r="TPX116" s="209"/>
      <c r="TPY116" s="210"/>
      <c r="TPZ116" s="210"/>
      <c r="TQA116" s="211"/>
      <c r="TQB116" s="210"/>
      <c r="TQC116" s="210"/>
      <c r="TQD116" s="210"/>
      <c r="TQE116" s="210"/>
      <c r="TQF116" s="212"/>
      <c r="TQG116" s="196"/>
      <c r="TQH116" s="197"/>
      <c r="TQI116" s="209"/>
      <c r="TQJ116" s="209"/>
      <c r="TQK116" s="210"/>
      <c r="TQL116" s="210"/>
      <c r="TQM116" s="211"/>
      <c r="TQN116" s="210"/>
      <c r="TQO116" s="210"/>
      <c r="TQP116" s="210"/>
      <c r="TQQ116" s="210"/>
      <c r="TQR116" s="212"/>
      <c r="TQS116" s="196"/>
      <c r="TQT116" s="197"/>
      <c r="TQU116" s="209"/>
      <c r="TQV116" s="209"/>
      <c r="TQW116" s="210"/>
      <c r="TQX116" s="210"/>
      <c r="TQY116" s="211"/>
      <c r="TQZ116" s="210"/>
      <c r="TRA116" s="210"/>
      <c r="TRB116" s="210"/>
      <c r="TRC116" s="210"/>
      <c r="TRD116" s="212"/>
      <c r="TRE116" s="196"/>
      <c r="TRF116" s="197"/>
      <c r="TRG116" s="209"/>
      <c r="TRH116" s="209"/>
      <c r="TRI116" s="210"/>
      <c r="TRJ116" s="210"/>
      <c r="TRK116" s="211"/>
      <c r="TRL116" s="210"/>
      <c r="TRM116" s="210"/>
      <c r="TRN116" s="210"/>
      <c r="TRO116" s="210"/>
      <c r="TRP116" s="212"/>
      <c r="TRQ116" s="196"/>
      <c r="TRR116" s="197"/>
      <c r="TRS116" s="209"/>
      <c r="TRT116" s="209"/>
      <c r="TRU116" s="210"/>
      <c r="TRV116" s="210"/>
      <c r="TRW116" s="211"/>
      <c r="TRX116" s="210"/>
      <c r="TRY116" s="210"/>
      <c r="TRZ116" s="210"/>
      <c r="TSA116" s="210"/>
      <c r="TSB116" s="212"/>
      <c r="TSC116" s="196"/>
      <c r="TSD116" s="197"/>
      <c r="TSE116" s="209"/>
      <c r="TSF116" s="209"/>
      <c r="TSG116" s="210"/>
      <c r="TSH116" s="210"/>
      <c r="TSI116" s="211"/>
      <c r="TSJ116" s="210"/>
      <c r="TSK116" s="210"/>
      <c r="TSL116" s="210"/>
      <c r="TSM116" s="210"/>
      <c r="TSN116" s="212"/>
      <c r="TSO116" s="196"/>
      <c r="TSP116" s="197"/>
      <c r="TSQ116" s="209"/>
      <c r="TSR116" s="209"/>
      <c r="TSS116" s="210"/>
      <c r="TST116" s="210"/>
      <c r="TSU116" s="211"/>
      <c r="TSV116" s="210"/>
      <c r="TSW116" s="210"/>
      <c r="TSX116" s="210"/>
      <c r="TSY116" s="210"/>
      <c r="TSZ116" s="212"/>
      <c r="TTA116" s="196"/>
      <c r="TTB116" s="197"/>
      <c r="TTC116" s="209"/>
      <c r="TTD116" s="209"/>
      <c r="TTE116" s="210"/>
      <c r="TTF116" s="210"/>
      <c r="TTG116" s="211"/>
      <c r="TTH116" s="210"/>
      <c r="TTI116" s="210"/>
      <c r="TTJ116" s="210"/>
      <c r="TTK116" s="210"/>
      <c r="TTL116" s="212"/>
      <c r="TTM116" s="196"/>
      <c r="TTN116" s="197"/>
      <c r="TTO116" s="209"/>
      <c r="TTP116" s="209"/>
      <c r="TTQ116" s="210"/>
      <c r="TTR116" s="210"/>
      <c r="TTS116" s="211"/>
      <c r="TTT116" s="210"/>
      <c r="TTU116" s="210"/>
      <c r="TTV116" s="210"/>
      <c r="TTW116" s="210"/>
      <c r="TTX116" s="212"/>
      <c r="TTY116" s="196"/>
      <c r="TTZ116" s="197"/>
      <c r="TUA116" s="209"/>
      <c r="TUB116" s="209"/>
      <c r="TUC116" s="210"/>
      <c r="TUD116" s="210"/>
      <c r="TUE116" s="211"/>
      <c r="TUF116" s="210"/>
      <c r="TUG116" s="210"/>
      <c r="TUH116" s="210"/>
      <c r="TUI116" s="210"/>
      <c r="TUJ116" s="212"/>
      <c r="TUK116" s="196"/>
      <c r="TUL116" s="197"/>
      <c r="TUM116" s="209"/>
      <c r="TUN116" s="209"/>
      <c r="TUO116" s="210"/>
      <c r="TUP116" s="210"/>
      <c r="TUQ116" s="211"/>
      <c r="TUR116" s="210"/>
      <c r="TUS116" s="210"/>
      <c r="TUT116" s="210"/>
      <c r="TUU116" s="210"/>
      <c r="TUV116" s="212"/>
      <c r="TUW116" s="196"/>
      <c r="TUX116" s="197"/>
      <c r="TUY116" s="209"/>
      <c r="TUZ116" s="209"/>
      <c r="TVA116" s="210"/>
      <c r="TVB116" s="210"/>
      <c r="TVC116" s="211"/>
      <c r="TVD116" s="210"/>
      <c r="TVE116" s="210"/>
      <c r="TVF116" s="210"/>
      <c r="TVG116" s="210"/>
      <c r="TVH116" s="212"/>
      <c r="TVI116" s="196"/>
      <c r="TVJ116" s="197"/>
      <c r="TVK116" s="209"/>
      <c r="TVL116" s="209"/>
      <c r="TVM116" s="210"/>
      <c r="TVN116" s="210"/>
      <c r="TVO116" s="211"/>
      <c r="TVP116" s="210"/>
      <c r="TVQ116" s="210"/>
      <c r="TVR116" s="210"/>
      <c r="TVS116" s="210"/>
      <c r="TVT116" s="212"/>
      <c r="TVU116" s="196"/>
      <c r="TVV116" s="197"/>
      <c r="TVW116" s="209"/>
      <c r="TVX116" s="209"/>
      <c r="TVY116" s="210"/>
      <c r="TVZ116" s="210"/>
      <c r="TWA116" s="211"/>
      <c r="TWB116" s="210"/>
      <c r="TWC116" s="210"/>
      <c r="TWD116" s="210"/>
      <c r="TWE116" s="210"/>
      <c r="TWF116" s="212"/>
      <c r="TWG116" s="196"/>
      <c r="TWH116" s="197"/>
      <c r="TWI116" s="209"/>
      <c r="TWJ116" s="209"/>
      <c r="TWK116" s="210"/>
      <c r="TWL116" s="210"/>
      <c r="TWM116" s="211"/>
      <c r="TWN116" s="210"/>
      <c r="TWO116" s="210"/>
      <c r="TWP116" s="210"/>
      <c r="TWQ116" s="210"/>
      <c r="TWR116" s="212"/>
      <c r="TWS116" s="196"/>
      <c r="TWT116" s="197"/>
      <c r="TWU116" s="209"/>
      <c r="TWV116" s="209"/>
      <c r="TWW116" s="210"/>
      <c r="TWX116" s="210"/>
      <c r="TWY116" s="211"/>
      <c r="TWZ116" s="210"/>
      <c r="TXA116" s="210"/>
      <c r="TXB116" s="210"/>
      <c r="TXC116" s="210"/>
      <c r="TXD116" s="212"/>
      <c r="TXE116" s="196"/>
      <c r="TXF116" s="197"/>
      <c r="TXG116" s="209"/>
      <c r="TXH116" s="209"/>
      <c r="TXI116" s="210"/>
      <c r="TXJ116" s="210"/>
      <c r="TXK116" s="211"/>
      <c r="TXL116" s="210"/>
      <c r="TXM116" s="210"/>
      <c r="TXN116" s="210"/>
      <c r="TXO116" s="210"/>
      <c r="TXP116" s="212"/>
      <c r="TXQ116" s="196"/>
      <c r="TXR116" s="197"/>
      <c r="TXS116" s="209"/>
      <c r="TXT116" s="209"/>
      <c r="TXU116" s="210"/>
      <c r="TXV116" s="210"/>
      <c r="TXW116" s="211"/>
      <c r="TXX116" s="210"/>
      <c r="TXY116" s="210"/>
      <c r="TXZ116" s="210"/>
      <c r="TYA116" s="210"/>
      <c r="TYB116" s="212"/>
      <c r="TYC116" s="196"/>
      <c r="TYD116" s="197"/>
      <c r="TYE116" s="209"/>
      <c r="TYF116" s="209"/>
      <c r="TYG116" s="210"/>
      <c r="TYH116" s="210"/>
      <c r="TYI116" s="211"/>
      <c r="TYJ116" s="210"/>
      <c r="TYK116" s="210"/>
      <c r="TYL116" s="210"/>
      <c r="TYM116" s="210"/>
      <c r="TYN116" s="212"/>
      <c r="TYO116" s="196"/>
      <c r="TYP116" s="197"/>
      <c r="TYQ116" s="209"/>
      <c r="TYR116" s="209"/>
      <c r="TYS116" s="210"/>
      <c r="TYT116" s="210"/>
      <c r="TYU116" s="211"/>
      <c r="TYV116" s="210"/>
      <c r="TYW116" s="210"/>
      <c r="TYX116" s="210"/>
      <c r="TYY116" s="210"/>
      <c r="TYZ116" s="212"/>
      <c r="TZA116" s="196"/>
      <c r="TZB116" s="197"/>
      <c r="TZC116" s="209"/>
      <c r="TZD116" s="209"/>
      <c r="TZE116" s="210"/>
      <c r="TZF116" s="210"/>
      <c r="TZG116" s="211"/>
      <c r="TZH116" s="210"/>
      <c r="TZI116" s="210"/>
      <c r="TZJ116" s="210"/>
      <c r="TZK116" s="210"/>
      <c r="TZL116" s="212"/>
      <c r="TZM116" s="196"/>
      <c r="TZN116" s="197"/>
      <c r="TZO116" s="209"/>
      <c r="TZP116" s="209"/>
      <c r="TZQ116" s="210"/>
      <c r="TZR116" s="210"/>
      <c r="TZS116" s="211"/>
      <c r="TZT116" s="210"/>
      <c r="TZU116" s="210"/>
      <c r="TZV116" s="210"/>
      <c r="TZW116" s="210"/>
      <c r="TZX116" s="212"/>
      <c r="TZY116" s="196"/>
      <c r="TZZ116" s="197"/>
      <c r="UAA116" s="209"/>
      <c r="UAB116" s="209"/>
      <c r="UAC116" s="210"/>
      <c r="UAD116" s="210"/>
      <c r="UAE116" s="211"/>
      <c r="UAF116" s="210"/>
      <c r="UAG116" s="210"/>
      <c r="UAH116" s="210"/>
      <c r="UAI116" s="210"/>
      <c r="UAJ116" s="212"/>
      <c r="UAK116" s="196"/>
      <c r="UAL116" s="197"/>
      <c r="UAM116" s="209"/>
      <c r="UAN116" s="209"/>
      <c r="UAO116" s="210"/>
      <c r="UAP116" s="210"/>
      <c r="UAQ116" s="211"/>
      <c r="UAR116" s="210"/>
      <c r="UAS116" s="210"/>
      <c r="UAT116" s="210"/>
      <c r="UAU116" s="210"/>
      <c r="UAV116" s="212"/>
      <c r="UAW116" s="196"/>
      <c r="UAX116" s="197"/>
      <c r="UAY116" s="209"/>
      <c r="UAZ116" s="209"/>
      <c r="UBA116" s="210"/>
      <c r="UBB116" s="210"/>
      <c r="UBC116" s="211"/>
      <c r="UBD116" s="210"/>
      <c r="UBE116" s="210"/>
      <c r="UBF116" s="210"/>
      <c r="UBG116" s="210"/>
      <c r="UBH116" s="212"/>
      <c r="UBI116" s="196"/>
      <c r="UBJ116" s="197"/>
      <c r="UBK116" s="209"/>
      <c r="UBL116" s="209"/>
      <c r="UBM116" s="210"/>
      <c r="UBN116" s="210"/>
      <c r="UBO116" s="211"/>
      <c r="UBP116" s="210"/>
      <c r="UBQ116" s="210"/>
      <c r="UBR116" s="210"/>
      <c r="UBS116" s="210"/>
      <c r="UBT116" s="212"/>
      <c r="UBU116" s="196"/>
      <c r="UBV116" s="197"/>
      <c r="UBW116" s="209"/>
      <c r="UBX116" s="209"/>
      <c r="UBY116" s="210"/>
      <c r="UBZ116" s="210"/>
      <c r="UCA116" s="211"/>
      <c r="UCB116" s="210"/>
      <c r="UCC116" s="210"/>
      <c r="UCD116" s="210"/>
      <c r="UCE116" s="210"/>
      <c r="UCF116" s="212"/>
      <c r="UCG116" s="196"/>
      <c r="UCH116" s="197"/>
      <c r="UCI116" s="209"/>
      <c r="UCJ116" s="209"/>
      <c r="UCK116" s="210"/>
      <c r="UCL116" s="210"/>
      <c r="UCM116" s="211"/>
      <c r="UCN116" s="210"/>
      <c r="UCO116" s="210"/>
      <c r="UCP116" s="210"/>
      <c r="UCQ116" s="210"/>
      <c r="UCR116" s="212"/>
      <c r="UCS116" s="196"/>
      <c r="UCT116" s="197"/>
      <c r="UCU116" s="209"/>
      <c r="UCV116" s="209"/>
      <c r="UCW116" s="210"/>
      <c r="UCX116" s="210"/>
      <c r="UCY116" s="211"/>
      <c r="UCZ116" s="210"/>
      <c r="UDA116" s="210"/>
      <c r="UDB116" s="210"/>
      <c r="UDC116" s="210"/>
      <c r="UDD116" s="212"/>
      <c r="UDE116" s="196"/>
      <c r="UDF116" s="197"/>
      <c r="UDG116" s="209"/>
      <c r="UDH116" s="209"/>
      <c r="UDI116" s="210"/>
      <c r="UDJ116" s="210"/>
      <c r="UDK116" s="211"/>
      <c r="UDL116" s="210"/>
      <c r="UDM116" s="210"/>
      <c r="UDN116" s="210"/>
      <c r="UDO116" s="210"/>
      <c r="UDP116" s="212"/>
      <c r="UDQ116" s="196"/>
      <c r="UDR116" s="197"/>
      <c r="UDS116" s="209"/>
      <c r="UDT116" s="209"/>
      <c r="UDU116" s="210"/>
      <c r="UDV116" s="210"/>
      <c r="UDW116" s="211"/>
      <c r="UDX116" s="210"/>
      <c r="UDY116" s="210"/>
      <c r="UDZ116" s="210"/>
      <c r="UEA116" s="210"/>
      <c r="UEB116" s="212"/>
      <c r="UEC116" s="196"/>
      <c r="UED116" s="197"/>
      <c r="UEE116" s="209"/>
      <c r="UEF116" s="209"/>
      <c r="UEG116" s="210"/>
      <c r="UEH116" s="210"/>
      <c r="UEI116" s="211"/>
      <c r="UEJ116" s="210"/>
      <c r="UEK116" s="210"/>
      <c r="UEL116" s="210"/>
      <c r="UEM116" s="210"/>
      <c r="UEN116" s="212"/>
      <c r="UEO116" s="196"/>
      <c r="UEP116" s="197"/>
      <c r="UEQ116" s="209"/>
      <c r="UER116" s="209"/>
      <c r="UES116" s="210"/>
      <c r="UET116" s="210"/>
      <c r="UEU116" s="211"/>
      <c r="UEV116" s="210"/>
      <c r="UEW116" s="210"/>
      <c r="UEX116" s="210"/>
      <c r="UEY116" s="210"/>
      <c r="UEZ116" s="212"/>
      <c r="UFA116" s="196"/>
      <c r="UFB116" s="197"/>
      <c r="UFC116" s="209"/>
      <c r="UFD116" s="209"/>
      <c r="UFE116" s="210"/>
      <c r="UFF116" s="210"/>
      <c r="UFG116" s="211"/>
      <c r="UFH116" s="210"/>
      <c r="UFI116" s="210"/>
      <c r="UFJ116" s="210"/>
      <c r="UFK116" s="210"/>
      <c r="UFL116" s="212"/>
      <c r="UFM116" s="196"/>
      <c r="UFN116" s="197"/>
      <c r="UFO116" s="209"/>
      <c r="UFP116" s="209"/>
      <c r="UFQ116" s="210"/>
      <c r="UFR116" s="210"/>
      <c r="UFS116" s="211"/>
      <c r="UFT116" s="210"/>
      <c r="UFU116" s="210"/>
      <c r="UFV116" s="210"/>
      <c r="UFW116" s="210"/>
      <c r="UFX116" s="212"/>
      <c r="UFY116" s="196"/>
      <c r="UFZ116" s="197"/>
      <c r="UGA116" s="209"/>
      <c r="UGB116" s="209"/>
      <c r="UGC116" s="210"/>
      <c r="UGD116" s="210"/>
      <c r="UGE116" s="211"/>
      <c r="UGF116" s="210"/>
      <c r="UGG116" s="210"/>
      <c r="UGH116" s="210"/>
      <c r="UGI116" s="210"/>
      <c r="UGJ116" s="212"/>
      <c r="UGK116" s="196"/>
      <c r="UGL116" s="197"/>
      <c r="UGM116" s="209"/>
      <c r="UGN116" s="209"/>
      <c r="UGO116" s="210"/>
      <c r="UGP116" s="210"/>
      <c r="UGQ116" s="211"/>
      <c r="UGR116" s="210"/>
      <c r="UGS116" s="210"/>
      <c r="UGT116" s="210"/>
      <c r="UGU116" s="210"/>
      <c r="UGV116" s="212"/>
      <c r="UGW116" s="196"/>
      <c r="UGX116" s="197"/>
      <c r="UGY116" s="209"/>
      <c r="UGZ116" s="209"/>
      <c r="UHA116" s="210"/>
      <c r="UHB116" s="210"/>
      <c r="UHC116" s="211"/>
      <c r="UHD116" s="210"/>
      <c r="UHE116" s="210"/>
      <c r="UHF116" s="210"/>
      <c r="UHG116" s="210"/>
      <c r="UHH116" s="212"/>
      <c r="UHI116" s="196"/>
      <c r="UHJ116" s="197"/>
      <c r="UHK116" s="209"/>
      <c r="UHL116" s="209"/>
      <c r="UHM116" s="210"/>
      <c r="UHN116" s="210"/>
      <c r="UHO116" s="211"/>
      <c r="UHP116" s="210"/>
      <c r="UHQ116" s="210"/>
      <c r="UHR116" s="210"/>
      <c r="UHS116" s="210"/>
      <c r="UHT116" s="212"/>
      <c r="UHU116" s="196"/>
      <c r="UHV116" s="197"/>
      <c r="UHW116" s="209"/>
      <c r="UHX116" s="209"/>
      <c r="UHY116" s="210"/>
      <c r="UHZ116" s="210"/>
      <c r="UIA116" s="211"/>
      <c r="UIB116" s="210"/>
      <c r="UIC116" s="210"/>
      <c r="UID116" s="210"/>
      <c r="UIE116" s="210"/>
      <c r="UIF116" s="212"/>
      <c r="UIG116" s="196"/>
      <c r="UIH116" s="197"/>
      <c r="UII116" s="209"/>
      <c r="UIJ116" s="209"/>
      <c r="UIK116" s="210"/>
      <c r="UIL116" s="210"/>
      <c r="UIM116" s="211"/>
      <c r="UIN116" s="210"/>
      <c r="UIO116" s="210"/>
      <c r="UIP116" s="210"/>
      <c r="UIQ116" s="210"/>
      <c r="UIR116" s="212"/>
      <c r="UIS116" s="196"/>
      <c r="UIT116" s="197"/>
      <c r="UIU116" s="209"/>
      <c r="UIV116" s="209"/>
      <c r="UIW116" s="210"/>
      <c r="UIX116" s="210"/>
      <c r="UIY116" s="211"/>
      <c r="UIZ116" s="210"/>
      <c r="UJA116" s="210"/>
      <c r="UJB116" s="210"/>
      <c r="UJC116" s="210"/>
      <c r="UJD116" s="212"/>
      <c r="UJE116" s="196"/>
      <c r="UJF116" s="197"/>
      <c r="UJG116" s="209"/>
      <c r="UJH116" s="209"/>
      <c r="UJI116" s="210"/>
      <c r="UJJ116" s="210"/>
      <c r="UJK116" s="211"/>
      <c r="UJL116" s="210"/>
      <c r="UJM116" s="210"/>
      <c r="UJN116" s="210"/>
      <c r="UJO116" s="210"/>
      <c r="UJP116" s="212"/>
      <c r="UJQ116" s="196"/>
      <c r="UJR116" s="197"/>
      <c r="UJS116" s="209"/>
      <c r="UJT116" s="209"/>
      <c r="UJU116" s="210"/>
      <c r="UJV116" s="210"/>
      <c r="UJW116" s="211"/>
      <c r="UJX116" s="210"/>
      <c r="UJY116" s="210"/>
      <c r="UJZ116" s="210"/>
      <c r="UKA116" s="210"/>
      <c r="UKB116" s="212"/>
      <c r="UKC116" s="196"/>
      <c r="UKD116" s="197"/>
      <c r="UKE116" s="209"/>
      <c r="UKF116" s="209"/>
      <c r="UKG116" s="210"/>
      <c r="UKH116" s="210"/>
      <c r="UKI116" s="211"/>
      <c r="UKJ116" s="210"/>
      <c r="UKK116" s="210"/>
      <c r="UKL116" s="210"/>
      <c r="UKM116" s="210"/>
      <c r="UKN116" s="212"/>
      <c r="UKO116" s="196"/>
      <c r="UKP116" s="197"/>
      <c r="UKQ116" s="209"/>
      <c r="UKR116" s="209"/>
      <c r="UKS116" s="210"/>
      <c r="UKT116" s="210"/>
      <c r="UKU116" s="211"/>
      <c r="UKV116" s="210"/>
      <c r="UKW116" s="210"/>
      <c r="UKX116" s="210"/>
      <c r="UKY116" s="210"/>
      <c r="UKZ116" s="212"/>
      <c r="ULA116" s="196"/>
      <c r="ULB116" s="197"/>
      <c r="ULC116" s="209"/>
      <c r="ULD116" s="209"/>
      <c r="ULE116" s="210"/>
      <c r="ULF116" s="210"/>
      <c r="ULG116" s="211"/>
      <c r="ULH116" s="210"/>
      <c r="ULI116" s="210"/>
      <c r="ULJ116" s="210"/>
      <c r="ULK116" s="210"/>
      <c r="ULL116" s="212"/>
      <c r="ULM116" s="196"/>
      <c r="ULN116" s="197"/>
      <c r="ULO116" s="209"/>
      <c r="ULP116" s="209"/>
      <c r="ULQ116" s="210"/>
      <c r="ULR116" s="210"/>
      <c r="ULS116" s="211"/>
      <c r="ULT116" s="210"/>
      <c r="ULU116" s="210"/>
      <c r="ULV116" s="210"/>
      <c r="ULW116" s="210"/>
      <c r="ULX116" s="212"/>
      <c r="ULY116" s="196"/>
      <c r="ULZ116" s="197"/>
      <c r="UMA116" s="209"/>
      <c r="UMB116" s="209"/>
      <c r="UMC116" s="210"/>
      <c r="UMD116" s="210"/>
      <c r="UME116" s="211"/>
      <c r="UMF116" s="210"/>
      <c r="UMG116" s="210"/>
      <c r="UMH116" s="210"/>
      <c r="UMI116" s="210"/>
      <c r="UMJ116" s="212"/>
      <c r="UMK116" s="196"/>
      <c r="UML116" s="197"/>
      <c r="UMM116" s="209"/>
      <c r="UMN116" s="209"/>
      <c r="UMO116" s="210"/>
      <c r="UMP116" s="210"/>
      <c r="UMQ116" s="211"/>
      <c r="UMR116" s="210"/>
      <c r="UMS116" s="210"/>
      <c r="UMT116" s="210"/>
      <c r="UMU116" s="210"/>
      <c r="UMV116" s="212"/>
      <c r="UMW116" s="196"/>
      <c r="UMX116" s="197"/>
      <c r="UMY116" s="209"/>
      <c r="UMZ116" s="209"/>
      <c r="UNA116" s="210"/>
      <c r="UNB116" s="210"/>
      <c r="UNC116" s="211"/>
      <c r="UND116" s="210"/>
      <c r="UNE116" s="210"/>
      <c r="UNF116" s="210"/>
      <c r="UNG116" s="210"/>
      <c r="UNH116" s="212"/>
      <c r="UNI116" s="196"/>
      <c r="UNJ116" s="197"/>
      <c r="UNK116" s="209"/>
      <c r="UNL116" s="209"/>
      <c r="UNM116" s="210"/>
      <c r="UNN116" s="210"/>
      <c r="UNO116" s="211"/>
      <c r="UNP116" s="210"/>
      <c r="UNQ116" s="210"/>
      <c r="UNR116" s="210"/>
      <c r="UNS116" s="210"/>
      <c r="UNT116" s="212"/>
      <c r="UNU116" s="196"/>
      <c r="UNV116" s="197"/>
      <c r="UNW116" s="209"/>
      <c r="UNX116" s="209"/>
      <c r="UNY116" s="210"/>
      <c r="UNZ116" s="210"/>
      <c r="UOA116" s="211"/>
      <c r="UOB116" s="210"/>
      <c r="UOC116" s="210"/>
      <c r="UOD116" s="210"/>
      <c r="UOE116" s="210"/>
      <c r="UOF116" s="212"/>
      <c r="UOG116" s="196"/>
      <c r="UOH116" s="197"/>
      <c r="UOI116" s="209"/>
      <c r="UOJ116" s="209"/>
      <c r="UOK116" s="210"/>
      <c r="UOL116" s="210"/>
      <c r="UOM116" s="211"/>
      <c r="UON116" s="210"/>
      <c r="UOO116" s="210"/>
      <c r="UOP116" s="210"/>
      <c r="UOQ116" s="210"/>
      <c r="UOR116" s="212"/>
      <c r="UOS116" s="196"/>
      <c r="UOT116" s="197"/>
      <c r="UOU116" s="209"/>
      <c r="UOV116" s="209"/>
      <c r="UOW116" s="210"/>
      <c r="UOX116" s="210"/>
      <c r="UOY116" s="211"/>
      <c r="UOZ116" s="210"/>
      <c r="UPA116" s="210"/>
      <c r="UPB116" s="210"/>
      <c r="UPC116" s="210"/>
      <c r="UPD116" s="212"/>
      <c r="UPE116" s="196"/>
      <c r="UPF116" s="197"/>
      <c r="UPG116" s="209"/>
      <c r="UPH116" s="209"/>
      <c r="UPI116" s="210"/>
      <c r="UPJ116" s="210"/>
      <c r="UPK116" s="211"/>
      <c r="UPL116" s="210"/>
      <c r="UPM116" s="210"/>
      <c r="UPN116" s="210"/>
      <c r="UPO116" s="210"/>
      <c r="UPP116" s="212"/>
      <c r="UPQ116" s="196"/>
      <c r="UPR116" s="197"/>
      <c r="UPS116" s="209"/>
      <c r="UPT116" s="209"/>
      <c r="UPU116" s="210"/>
      <c r="UPV116" s="210"/>
      <c r="UPW116" s="211"/>
      <c r="UPX116" s="210"/>
      <c r="UPY116" s="210"/>
      <c r="UPZ116" s="210"/>
      <c r="UQA116" s="210"/>
      <c r="UQB116" s="212"/>
      <c r="UQC116" s="196"/>
      <c r="UQD116" s="197"/>
      <c r="UQE116" s="209"/>
      <c r="UQF116" s="209"/>
      <c r="UQG116" s="210"/>
      <c r="UQH116" s="210"/>
      <c r="UQI116" s="211"/>
      <c r="UQJ116" s="210"/>
      <c r="UQK116" s="210"/>
      <c r="UQL116" s="210"/>
      <c r="UQM116" s="210"/>
      <c r="UQN116" s="212"/>
      <c r="UQO116" s="196"/>
      <c r="UQP116" s="197"/>
      <c r="UQQ116" s="209"/>
      <c r="UQR116" s="209"/>
      <c r="UQS116" s="210"/>
      <c r="UQT116" s="210"/>
      <c r="UQU116" s="211"/>
      <c r="UQV116" s="210"/>
      <c r="UQW116" s="210"/>
      <c r="UQX116" s="210"/>
      <c r="UQY116" s="210"/>
      <c r="UQZ116" s="212"/>
      <c r="URA116" s="196"/>
      <c r="URB116" s="197"/>
      <c r="URC116" s="209"/>
      <c r="URD116" s="209"/>
      <c r="URE116" s="210"/>
      <c r="URF116" s="210"/>
      <c r="URG116" s="211"/>
      <c r="URH116" s="210"/>
      <c r="URI116" s="210"/>
      <c r="URJ116" s="210"/>
      <c r="URK116" s="210"/>
      <c r="URL116" s="212"/>
      <c r="URM116" s="196"/>
      <c r="URN116" s="197"/>
      <c r="URO116" s="209"/>
      <c r="URP116" s="209"/>
      <c r="URQ116" s="210"/>
      <c r="URR116" s="210"/>
      <c r="URS116" s="211"/>
      <c r="URT116" s="210"/>
      <c r="URU116" s="210"/>
      <c r="URV116" s="210"/>
      <c r="URW116" s="210"/>
      <c r="URX116" s="212"/>
      <c r="URY116" s="196"/>
      <c r="URZ116" s="197"/>
      <c r="USA116" s="209"/>
      <c r="USB116" s="209"/>
      <c r="USC116" s="210"/>
      <c r="USD116" s="210"/>
      <c r="USE116" s="211"/>
      <c r="USF116" s="210"/>
      <c r="USG116" s="210"/>
      <c r="USH116" s="210"/>
      <c r="USI116" s="210"/>
      <c r="USJ116" s="212"/>
      <c r="USK116" s="196"/>
      <c r="USL116" s="197"/>
      <c r="USM116" s="209"/>
      <c r="USN116" s="209"/>
      <c r="USO116" s="210"/>
      <c r="USP116" s="210"/>
      <c r="USQ116" s="211"/>
      <c r="USR116" s="210"/>
      <c r="USS116" s="210"/>
      <c r="UST116" s="210"/>
      <c r="USU116" s="210"/>
      <c r="USV116" s="212"/>
      <c r="USW116" s="196"/>
      <c r="USX116" s="197"/>
      <c r="USY116" s="209"/>
      <c r="USZ116" s="209"/>
      <c r="UTA116" s="210"/>
      <c r="UTB116" s="210"/>
      <c r="UTC116" s="211"/>
      <c r="UTD116" s="210"/>
      <c r="UTE116" s="210"/>
      <c r="UTF116" s="210"/>
      <c r="UTG116" s="210"/>
      <c r="UTH116" s="212"/>
      <c r="UTI116" s="196"/>
      <c r="UTJ116" s="197"/>
      <c r="UTK116" s="209"/>
      <c r="UTL116" s="209"/>
      <c r="UTM116" s="210"/>
      <c r="UTN116" s="210"/>
      <c r="UTO116" s="211"/>
      <c r="UTP116" s="210"/>
      <c r="UTQ116" s="210"/>
      <c r="UTR116" s="210"/>
      <c r="UTS116" s="210"/>
      <c r="UTT116" s="212"/>
      <c r="UTU116" s="196"/>
      <c r="UTV116" s="197"/>
      <c r="UTW116" s="209"/>
      <c r="UTX116" s="209"/>
      <c r="UTY116" s="210"/>
      <c r="UTZ116" s="210"/>
      <c r="UUA116" s="211"/>
      <c r="UUB116" s="210"/>
      <c r="UUC116" s="210"/>
      <c r="UUD116" s="210"/>
      <c r="UUE116" s="210"/>
      <c r="UUF116" s="212"/>
      <c r="UUG116" s="196"/>
      <c r="UUH116" s="197"/>
      <c r="UUI116" s="209"/>
      <c r="UUJ116" s="209"/>
      <c r="UUK116" s="210"/>
      <c r="UUL116" s="210"/>
      <c r="UUM116" s="211"/>
      <c r="UUN116" s="210"/>
      <c r="UUO116" s="210"/>
      <c r="UUP116" s="210"/>
      <c r="UUQ116" s="210"/>
      <c r="UUR116" s="212"/>
      <c r="UUS116" s="196"/>
      <c r="UUT116" s="197"/>
      <c r="UUU116" s="209"/>
      <c r="UUV116" s="209"/>
      <c r="UUW116" s="210"/>
      <c r="UUX116" s="210"/>
      <c r="UUY116" s="211"/>
      <c r="UUZ116" s="210"/>
      <c r="UVA116" s="210"/>
      <c r="UVB116" s="210"/>
      <c r="UVC116" s="210"/>
      <c r="UVD116" s="212"/>
      <c r="UVE116" s="196"/>
      <c r="UVF116" s="197"/>
      <c r="UVG116" s="209"/>
      <c r="UVH116" s="209"/>
      <c r="UVI116" s="210"/>
      <c r="UVJ116" s="210"/>
      <c r="UVK116" s="211"/>
      <c r="UVL116" s="210"/>
      <c r="UVM116" s="210"/>
      <c r="UVN116" s="210"/>
      <c r="UVO116" s="210"/>
      <c r="UVP116" s="212"/>
      <c r="UVQ116" s="196"/>
      <c r="UVR116" s="197"/>
      <c r="UVS116" s="209"/>
      <c r="UVT116" s="209"/>
      <c r="UVU116" s="210"/>
      <c r="UVV116" s="210"/>
      <c r="UVW116" s="211"/>
      <c r="UVX116" s="210"/>
      <c r="UVY116" s="210"/>
      <c r="UVZ116" s="210"/>
      <c r="UWA116" s="210"/>
      <c r="UWB116" s="212"/>
      <c r="UWC116" s="196"/>
      <c r="UWD116" s="197"/>
      <c r="UWE116" s="209"/>
      <c r="UWF116" s="209"/>
      <c r="UWG116" s="210"/>
      <c r="UWH116" s="210"/>
      <c r="UWI116" s="211"/>
      <c r="UWJ116" s="210"/>
      <c r="UWK116" s="210"/>
      <c r="UWL116" s="210"/>
      <c r="UWM116" s="210"/>
      <c r="UWN116" s="212"/>
      <c r="UWO116" s="196"/>
      <c r="UWP116" s="197"/>
      <c r="UWQ116" s="209"/>
      <c r="UWR116" s="209"/>
      <c r="UWS116" s="210"/>
      <c r="UWT116" s="210"/>
      <c r="UWU116" s="211"/>
      <c r="UWV116" s="210"/>
      <c r="UWW116" s="210"/>
      <c r="UWX116" s="210"/>
      <c r="UWY116" s="210"/>
      <c r="UWZ116" s="212"/>
      <c r="UXA116" s="196"/>
      <c r="UXB116" s="197"/>
      <c r="UXC116" s="209"/>
      <c r="UXD116" s="209"/>
      <c r="UXE116" s="210"/>
      <c r="UXF116" s="210"/>
      <c r="UXG116" s="211"/>
      <c r="UXH116" s="210"/>
      <c r="UXI116" s="210"/>
      <c r="UXJ116" s="210"/>
      <c r="UXK116" s="210"/>
      <c r="UXL116" s="212"/>
      <c r="UXM116" s="196"/>
      <c r="UXN116" s="197"/>
      <c r="UXO116" s="209"/>
      <c r="UXP116" s="209"/>
      <c r="UXQ116" s="210"/>
      <c r="UXR116" s="210"/>
      <c r="UXS116" s="211"/>
      <c r="UXT116" s="210"/>
      <c r="UXU116" s="210"/>
      <c r="UXV116" s="210"/>
      <c r="UXW116" s="210"/>
      <c r="UXX116" s="212"/>
      <c r="UXY116" s="196"/>
      <c r="UXZ116" s="197"/>
      <c r="UYA116" s="209"/>
      <c r="UYB116" s="209"/>
      <c r="UYC116" s="210"/>
      <c r="UYD116" s="210"/>
      <c r="UYE116" s="211"/>
      <c r="UYF116" s="210"/>
      <c r="UYG116" s="210"/>
      <c r="UYH116" s="210"/>
      <c r="UYI116" s="210"/>
      <c r="UYJ116" s="212"/>
      <c r="UYK116" s="196"/>
      <c r="UYL116" s="197"/>
      <c r="UYM116" s="209"/>
      <c r="UYN116" s="209"/>
      <c r="UYO116" s="210"/>
      <c r="UYP116" s="210"/>
      <c r="UYQ116" s="211"/>
      <c r="UYR116" s="210"/>
      <c r="UYS116" s="210"/>
      <c r="UYT116" s="210"/>
      <c r="UYU116" s="210"/>
      <c r="UYV116" s="212"/>
      <c r="UYW116" s="196"/>
      <c r="UYX116" s="197"/>
      <c r="UYY116" s="209"/>
      <c r="UYZ116" s="209"/>
      <c r="UZA116" s="210"/>
      <c r="UZB116" s="210"/>
      <c r="UZC116" s="211"/>
      <c r="UZD116" s="210"/>
      <c r="UZE116" s="210"/>
      <c r="UZF116" s="210"/>
      <c r="UZG116" s="210"/>
      <c r="UZH116" s="212"/>
      <c r="UZI116" s="196"/>
      <c r="UZJ116" s="197"/>
      <c r="UZK116" s="209"/>
      <c r="UZL116" s="209"/>
      <c r="UZM116" s="210"/>
      <c r="UZN116" s="210"/>
      <c r="UZO116" s="211"/>
      <c r="UZP116" s="210"/>
      <c r="UZQ116" s="210"/>
      <c r="UZR116" s="210"/>
      <c r="UZS116" s="210"/>
      <c r="UZT116" s="212"/>
      <c r="UZU116" s="196"/>
      <c r="UZV116" s="197"/>
      <c r="UZW116" s="209"/>
      <c r="UZX116" s="209"/>
      <c r="UZY116" s="210"/>
      <c r="UZZ116" s="210"/>
      <c r="VAA116" s="211"/>
      <c r="VAB116" s="210"/>
      <c r="VAC116" s="210"/>
      <c r="VAD116" s="210"/>
      <c r="VAE116" s="210"/>
      <c r="VAF116" s="212"/>
      <c r="VAG116" s="196"/>
      <c r="VAH116" s="197"/>
      <c r="VAI116" s="209"/>
      <c r="VAJ116" s="209"/>
      <c r="VAK116" s="210"/>
      <c r="VAL116" s="210"/>
      <c r="VAM116" s="211"/>
      <c r="VAN116" s="210"/>
      <c r="VAO116" s="210"/>
      <c r="VAP116" s="210"/>
      <c r="VAQ116" s="210"/>
      <c r="VAR116" s="212"/>
      <c r="VAS116" s="196"/>
      <c r="VAT116" s="197"/>
      <c r="VAU116" s="209"/>
      <c r="VAV116" s="209"/>
      <c r="VAW116" s="210"/>
      <c r="VAX116" s="210"/>
      <c r="VAY116" s="211"/>
      <c r="VAZ116" s="210"/>
      <c r="VBA116" s="210"/>
      <c r="VBB116" s="210"/>
      <c r="VBC116" s="210"/>
      <c r="VBD116" s="212"/>
      <c r="VBE116" s="196"/>
      <c r="VBF116" s="197"/>
      <c r="VBG116" s="209"/>
      <c r="VBH116" s="209"/>
      <c r="VBI116" s="210"/>
      <c r="VBJ116" s="210"/>
      <c r="VBK116" s="211"/>
      <c r="VBL116" s="210"/>
      <c r="VBM116" s="210"/>
      <c r="VBN116" s="210"/>
      <c r="VBO116" s="210"/>
      <c r="VBP116" s="212"/>
      <c r="VBQ116" s="196"/>
      <c r="VBR116" s="197"/>
      <c r="VBS116" s="209"/>
      <c r="VBT116" s="209"/>
      <c r="VBU116" s="210"/>
      <c r="VBV116" s="210"/>
      <c r="VBW116" s="211"/>
      <c r="VBX116" s="210"/>
      <c r="VBY116" s="210"/>
      <c r="VBZ116" s="210"/>
      <c r="VCA116" s="210"/>
      <c r="VCB116" s="212"/>
      <c r="VCC116" s="196"/>
      <c r="VCD116" s="197"/>
      <c r="VCE116" s="209"/>
      <c r="VCF116" s="209"/>
      <c r="VCG116" s="210"/>
      <c r="VCH116" s="210"/>
      <c r="VCI116" s="211"/>
      <c r="VCJ116" s="210"/>
      <c r="VCK116" s="210"/>
      <c r="VCL116" s="210"/>
      <c r="VCM116" s="210"/>
      <c r="VCN116" s="212"/>
      <c r="VCO116" s="196"/>
      <c r="VCP116" s="197"/>
      <c r="VCQ116" s="209"/>
      <c r="VCR116" s="209"/>
      <c r="VCS116" s="210"/>
      <c r="VCT116" s="210"/>
      <c r="VCU116" s="211"/>
      <c r="VCV116" s="210"/>
      <c r="VCW116" s="210"/>
      <c r="VCX116" s="210"/>
      <c r="VCY116" s="210"/>
      <c r="VCZ116" s="212"/>
      <c r="VDA116" s="196"/>
      <c r="VDB116" s="197"/>
      <c r="VDC116" s="209"/>
      <c r="VDD116" s="209"/>
      <c r="VDE116" s="210"/>
      <c r="VDF116" s="210"/>
      <c r="VDG116" s="211"/>
      <c r="VDH116" s="210"/>
      <c r="VDI116" s="210"/>
      <c r="VDJ116" s="210"/>
      <c r="VDK116" s="210"/>
      <c r="VDL116" s="212"/>
      <c r="VDM116" s="196"/>
      <c r="VDN116" s="197"/>
      <c r="VDO116" s="209"/>
      <c r="VDP116" s="209"/>
      <c r="VDQ116" s="210"/>
      <c r="VDR116" s="210"/>
      <c r="VDS116" s="211"/>
      <c r="VDT116" s="210"/>
      <c r="VDU116" s="210"/>
      <c r="VDV116" s="210"/>
      <c r="VDW116" s="210"/>
      <c r="VDX116" s="212"/>
      <c r="VDY116" s="196"/>
      <c r="VDZ116" s="197"/>
      <c r="VEA116" s="209"/>
      <c r="VEB116" s="209"/>
      <c r="VEC116" s="210"/>
      <c r="VED116" s="210"/>
      <c r="VEE116" s="211"/>
      <c r="VEF116" s="210"/>
      <c r="VEG116" s="210"/>
      <c r="VEH116" s="210"/>
      <c r="VEI116" s="210"/>
      <c r="VEJ116" s="212"/>
      <c r="VEK116" s="196"/>
      <c r="VEL116" s="197"/>
      <c r="VEM116" s="209"/>
      <c r="VEN116" s="209"/>
      <c r="VEO116" s="210"/>
      <c r="VEP116" s="210"/>
      <c r="VEQ116" s="211"/>
      <c r="VER116" s="210"/>
      <c r="VES116" s="210"/>
      <c r="VET116" s="210"/>
      <c r="VEU116" s="210"/>
      <c r="VEV116" s="212"/>
      <c r="VEW116" s="196"/>
      <c r="VEX116" s="197"/>
      <c r="VEY116" s="209"/>
      <c r="VEZ116" s="209"/>
      <c r="VFA116" s="210"/>
      <c r="VFB116" s="210"/>
      <c r="VFC116" s="211"/>
      <c r="VFD116" s="210"/>
      <c r="VFE116" s="210"/>
      <c r="VFF116" s="210"/>
      <c r="VFG116" s="210"/>
      <c r="VFH116" s="212"/>
      <c r="VFI116" s="196"/>
      <c r="VFJ116" s="197"/>
      <c r="VFK116" s="209"/>
      <c r="VFL116" s="209"/>
      <c r="VFM116" s="210"/>
      <c r="VFN116" s="210"/>
      <c r="VFO116" s="211"/>
      <c r="VFP116" s="210"/>
      <c r="VFQ116" s="210"/>
      <c r="VFR116" s="210"/>
      <c r="VFS116" s="210"/>
      <c r="VFT116" s="212"/>
      <c r="VFU116" s="196"/>
      <c r="VFV116" s="197"/>
      <c r="VFW116" s="209"/>
      <c r="VFX116" s="209"/>
      <c r="VFY116" s="210"/>
      <c r="VFZ116" s="210"/>
      <c r="VGA116" s="211"/>
      <c r="VGB116" s="210"/>
      <c r="VGC116" s="210"/>
      <c r="VGD116" s="210"/>
      <c r="VGE116" s="210"/>
      <c r="VGF116" s="212"/>
      <c r="VGG116" s="196"/>
      <c r="VGH116" s="197"/>
      <c r="VGI116" s="209"/>
      <c r="VGJ116" s="209"/>
      <c r="VGK116" s="210"/>
      <c r="VGL116" s="210"/>
      <c r="VGM116" s="211"/>
      <c r="VGN116" s="210"/>
      <c r="VGO116" s="210"/>
      <c r="VGP116" s="210"/>
      <c r="VGQ116" s="210"/>
      <c r="VGR116" s="212"/>
      <c r="VGS116" s="196"/>
      <c r="VGT116" s="197"/>
      <c r="VGU116" s="209"/>
      <c r="VGV116" s="209"/>
      <c r="VGW116" s="210"/>
      <c r="VGX116" s="210"/>
      <c r="VGY116" s="211"/>
      <c r="VGZ116" s="210"/>
      <c r="VHA116" s="210"/>
      <c r="VHB116" s="210"/>
      <c r="VHC116" s="210"/>
      <c r="VHD116" s="212"/>
      <c r="VHE116" s="196"/>
      <c r="VHF116" s="197"/>
      <c r="VHG116" s="209"/>
      <c r="VHH116" s="209"/>
      <c r="VHI116" s="210"/>
      <c r="VHJ116" s="210"/>
      <c r="VHK116" s="211"/>
      <c r="VHL116" s="210"/>
      <c r="VHM116" s="210"/>
      <c r="VHN116" s="210"/>
      <c r="VHO116" s="210"/>
      <c r="VHP116" s="212"/>
      <c r="VHQ116" s="196"/>
      <c r="VHR116" s="197"/>
      <c r="VHS116" s="209"/>
      <c r="VHT116" s="209"/>
      <c r="VHU116" s="210"/>
      <c r="VHV116" s="210"/>
      <c r="VHW116" s="211"/>
      <c r="VHX116" s="210"/>
      <c r="VHY116" s="210"/>
      <c r="VHZ116" s="210"/>
      <c r="VIA116" s="210"/>
      <c r="VIB116" s="212"/>
      <c r="VIC116" s="196"/>
      <c r="VID116" s="197"/>
      <c r="VIE116" s="209"/>
      <c r="VIF116" s="209"/>
      <c r="VIG116" s="210"/>
      <c r="VIH116" s="210"/>
      <c r="VII116" s="211"/>
      <c r="VIJ116" s="210"/>
      <c r="VIK116" s="210"/>
      <c r="VIL116" s="210"/>
      <c r="VIM116" s="210"/>
      <c r="VIN116" s="212"/>
      <c r="VIO116" s="196"/>
      <c r="VIP116" s="197"/>
      <c r="VIQ116" s="209"/>
      <c r="VIR116" s="209"/>
      <c r="VIS116" s="210"/>
      <c r="VIT116" s="210"/>
      <c r="VIU116" s="211"/>
      <c r="VIV116" s="210"/>
      <c r="VIW116" s="210"/>
      <c r="VIX116" s="210"/>
      <c r="VIY116" s="210"/>
      <c r="VIZ116" s="212"/>
      <c r="VJA116" s="196"/>
      <c r="VJB116" s="197"/>
      <c r="VJC116" s="209"/>
      <c r="VJD116" s="209"/>
      <c r="VJE116" s="210"/>
      <c r="VJF116" s="210"/>
      <c r="VJG116" s="211"/>
      <c r="VJH116" s="210"/>
      <c r="VJI116" s="210"/>
      <c r="VJJ116" s="210"/>
      <c r="VJK116" s="210"/>
      <c r="VJL116" s="212"/>
      <c r="VJM116" s="196"/>
      <c r="VJN116" s="197"/>
      <c r="VJO116" s="209"/>
      <c r="VJP116" s="209"/>
      <c r="VJQ116" s="210"/>
      <c r="VJR116" s="210"/>
      <c r="VJS116" s="211"/>
      <c r="VJT116" s="210"/>
      <c r="VJU116" s="210"/>
      <c r="VJV116" s="210"/>
      <c r="VJW116" s="210"/>
      <c r="VJX116" s="212"/>
      <c r="VJY116" s="196"/>
      <c r="VJZ116" s="197"/>
      <c r="VKA116" s="209"/>
      <c r="VKB116" s="209"/>
      <c r="VKC116" s="210"/>
      <c r="VKD116" s="210"/>
      <c r="VKE116" s="211"/>
      <c r="VKF116" s="210"/>
      <c r="VKG116" s="210"/>
      <c r="VKH116" s="210"/>
      <c r="VKI116" s="210"/>
      <c r="VKJ116" s="212"/>
      <c r="VKK116" s="196"/>
      <c r="VKL116" s="197"/>
      <c r="VKM116" s="209"/>
      <c r="VKN116" s="209"/>
      <c r="VKO116" s="210"/>
      <c r="VKP116" s="210"/>
      <c r="VKQ116" s="211"/>
      <c r="VKR116" s="210"/>
      <c r="VKS116" s="210"/>
      <c r="VKT116" s="210"/>
      <c r="VKU116" s="210"/>
      <c r="VKV116" s="212"/>
      <c r="VKW116" s="196"/>
      <c r="VKX116" s="197"/>
      <c r="VKY116" s="209"/>
      <c r="VKZ116" s="209"/>
      <c r="VLA116" s="210"/>
      <c r="VLB116" s="210"/>
      <c r="VLC116" s="211"/>
      <c r="VLD116" s="210"/>
      <c r="VLE116" s="210"/>
      <c r="VLF116" s="210"/>
      <c r="VLG116" s="210"/>
      <c r="VLH116" s="212"/>
      <c r="VLI116" s="196"/>
      <c r="VLJ116" s="197"/>
      <c r="VLK116" s="209"/>
      <c r="VLL116" s="209"/>
      <c r="VLM116" s="210"/>
      <c r="VLN116" s="210"/>
      <c r="VLO116" s="211"/>
      <c r="VLP116" s="210"/>
      <c r="VLQ116" s="210"/>
      <c r="VLR116" s="210"/>
      <c r="VLS116" s="210"/>
      <c r="VLT116" s="212"/>
      <c r="VLU116" s="196"/>
      <c r="VLV116" s="197"/>
      <c r="VLW116" s="209"/>
      <c r="VLX116" s="209"/>
      <c r="VLY116" s="210"/>
      <c r="VLZ116" s="210"/>
      <c r="VMA116" s="211"/>
      <c r="VMB116" s="210"/>
      <c r="VMC116" s="210"/>
      <c r="VMD116" s="210"/>
      <c r="VME116" s="210"/>
      <c r="VMF116" s="212"/>
      <c r="VMG116" s="196"/>
      <c r="VMH116" s="197"/>
      <c r="VMI116" s="209"/>
      <c r="VMJ116" s="209"/>
      <c r="VMK116" s="210"/>
      <c r="VML116" s="210"/>
      <c r="VMM116" s="211"/>
      <c r="VMN116" s="210"/>
      <c r="VMO116" s="210"/>
      <c r="VMP116" s="210"/>
      <c r="VMQ116" s="210"/>
      <c r="VMR116" s="212"/>
      <c r="VMS116" s="196"/>
      <c r="VMT116" s="197"/>
      <c r="VMU116" s="209"/>
      <c r="VMV116" s="209"/>
      <c r="VMW116" s="210"/>
      <c r="VMX116" s="210"/>
      <c r="VMY116" s="211"/>
      <c r="VMZ116" s="210"/>
      <c r="VNA116" s="210"/>
      <c r="VNB116" s="210"/>
      <c r="VNC116" s="210"/>
      <c r="VND116" s="212"/>
      <c r="VNE116" s="196"/>
      <c r="VNF116" s="197"/>
      <c r="VNG116" s="209"/>
      <c r="VNH116" s="209"/>
      <c r="VNI116" s="210"/>
      <c r="VNJ116" s="210"/>
      <c r="VNK116" s="211"/>
      <c r="VNL116" s="210"/>
      <c r="VNM116" s="210"/>
      <c r="VNN116" s="210"/>
      <c r="VNO116" s="210"/>
      <c r="VNP116" s="212"/>
      <c r="VNQ116" s="196"/>
      <c r="VNR116" s="197"/>
      <c r="VNS116" s="209"/>
      <c r="VNT116" s="209"/>
      <c r="VNU116" s="210"/>
      <c r="VNV116" s="210"/>
      <c r="VNW116" s="211"/>
      <c r="VNX116" s="210"/>
      <c r="VNY116" s="210"/>
      <c r="VNZ116" s="210"/>
      <c r="VOA116" s="210"/>
      <c r="VOB116" s="212"/>
      <c r="VOC116" s="196"/>
      <c r="VOD116" s="197"/>
      <c r="VOE116" s="209"/>
      <c r="VOF116" s="209"/>
      <c r="VOG116" s="210"/>
      <c r="VOH116" s="210"/>
      <c r="VOI116" s="211"/>
      <c r="VOJ116" s="210"/>
      <c r="VOK116" s="210"/>
      <c r="VOL116" s="210"/>
      <c r="VOM116" s="210"/>
      <c r="VON116" s="212"/>
      <c r="VOO116" s="196"/>
      <c r="VOP116" s="197"/>
      <c r="VOQ116" s="209"/>
      <c r="VOR116" s="209"/>
      <c r="VOS116" s="210"/>
      <c r="VOT116" s="210"/>
      <c r="VOU116" s="211"/>
      <c r="VOV116" s="210"/>
      <c r="VOW116" s="210"/>
      <c r="VOX116" s="210"/>
      <c r="VOY116" s="210"/>
      <c r="VOZ116" s="212"/>
      <c r="VPA116" s="196"/>
      <c r="VPB116" s="197"/>
      <c r="VPC116" s="209"/>
      <c r="VPD116" s="209"/>
      <c r="VPE116" s="210"/>
      <c r="VPF116" s="210"/>
      <c r="VPG116" s="211"/>
      <c r="VPH116" s="210"/>
      <c r="VPI116" s="210"/>
      <c r="VPJ116" s="210"/>
      <c r="VPK116" s="210"/>
      <c r="VPL116" s="212"/>
      <c r="VPM116" s="196"/>
      <c r="VPN116" s="197"/>
      <c r="VPO116" s="209"/>
      <c r="VPP116" s="209"/>
      <c r="VPQ116" s="210"/>
      <c r="VPR116" s="210"/>
      <c r="VPS116" s="211"/>
      <c r="VPT116" s="210"/>
      <c r="VPU116" s="210"/>
      <c r="VPV116" s="210"/>
      <c r="VPW116" s="210"/>
      <c r="VPX116" s="212"/>
      <c r="VPY116" s="196"/>
      <c r="VPZ116" s="197"/>
      <c r="VQA116" s="209"/>
      <c r="VQB116" s="209"/>
      <c r="VQC116" s="210"/>
      <c r="VQD116" s="210"/>
      <c r="VQE116" s="211"/>
      <c r="VQF116" s="210"/>
      <c r="VQG116" s="210"/>
      <c r="VQH116" s="210"/>
      <c r="VQI116" s="210"/>
      <c r="VQJ116" s="212"/>
      <c r="VQK116" s="196"/>
      <c r="VQL116" s="197"/>
      <c r="VQM116" s="209"/>
      <c r="VQN116" s="209"/>
      <c r="VQO116" s="210"/>
      <c r="VQP116" s="210"/>
      <c r="VQQ116" s="211"/>
      <c r="VQR116" s="210"/>
      <c r="VQS116" s="210"/>
      <c r="VQT116" s="210"/>
      <c r="VQU116" s="210"/>
      <c r="VQV116" s="212"/>
      <c r="VQW116" s="196"/>
      <c r="VQX116" s="197"/>
      <c r="VQY116" s="209"/>
      <c r="VQZ116" s="209"/>
      <c r="VRA116" s="210"/>
      <c r="VRB116" s="210"/>
      <c r="VRC116" s="211"/>
      <c r="VRD116" s="210"/>
      <c r="VRE116" s="210"/>
      <c r="VRF116" s="210"/>
      <c r="VRG116" s="210"/>
      <c r="VRH116" s="212"/>
      <c r="VRI116" s="196"/>
      <c r="VRJ116" s="197"/>
      <c r="VRK116" s="209"/>
      <c r="VRL116" s="209"/>
      <c r="VRM116" s="210"/>
      <c r="VRN116" s="210"/>
      <c r="VRO116" s="211"/>
      <c r="VRP116" s="210"/>
      <c r="VRQ116" s="210"/>
      <c r="VRR116" s="210"/>
      <c r="VRS116" s="210"/>
      <c r="VRT116" s="212"/>
      <c r="VRU116" s="196"/>
      <c r="VRV116" s="197"/>
      <c r="VRW116" s="209"/>
      <c r="VRX116" s="209"/>
      <c r="VRY116" s="210"/>
      <c r="VRZ116" s="210"/>
      <c r="VSA116" s="211"/>
      <c r="VSB116" s="210"/>
      <c r="VSC116" s="210"/>
      <c r="VSD116" s="210"/>
      <c r="VSE116" s="210"/>
      <c r="VSF116" s="212"/>
      <c r="VSG116" s="196"/>
      <c r="VSH116" s="197"/>
      <c r="VSI116" s="209"/>
      <c r="VSJ116" s="209"/>
      <c r="VSK116" s="210"/>
      <c r="VSL116" s="210"/>
      <c r="VSM116" s="211"/>
      <c r="VSN116" s="210"/>
      <c r="VSO116" s="210"/>
      <c r="VSP116" s="210"/>
      <c r="VSQ116" s="210"/>
      <c r="VSR116" s="212"/>
      <c r="VSS116" s="196"/>
      <c r="VST116" s="197"/>
      <c r="VSU116" s="209"/>
      <c r="VSV116" s="209"/>
      <c r="VSW116" s="210"/>
      <c r="VSX116" s="210"/>
      <c r="VSY116" s="211"/>
      <c r="VSZ116" s="210"/>
      <c r="VTA116" s="210"/>
      <c r="VTB116" s="210"/>
      <c r="VTC116" s="210"/>
      <c r="VTD116" s="212"/>
      <c r="VTE116" s="196"/>
      <c r="VTF116" s="197"/>
      <c r="VTG116" s="209"/>
      <c r="VTH116" s="209"/>
      <c r="VTI116" s="210"/>
      <c r="VTJ116" s="210"/>
      <c r="VTK116" s="211"/>
      <c r="VTL116" s="210"/>
      <c r="VTM116" s="210"/>
      <c r="VTN116" s="210"/>
      <c r="VTO116" s="210"/>
      <c r="VTP116" s="212"/>
      <c r="VTQ116" s="196"/>
      <c r="VTR116" s="197"/>
      <c r="VTS116" s="209"/>
      <c r="VTT116" s="209"/>
      <c r="VTU116" s="210"/>
      <c r="VTV116" s="210"/>
      <c r="VTW116" s="211"/>
      <c r="VTX116" s="210"/>
      <c r="VTY116" s="210"/>
      <c r="VTZ116" s="210"/>
      <c r="VUA116" s="210"/>
      <c r="VUB116" s="212"/>
      <c r="VUC116" s="196"/>
      <c r="VUD116" s="197"/>
      <c r="VUE116" s="209"/>
      <c r="VUF116" s="209"/>
      <c r="VUG116" s="210"/>
      <c r="VUH116" s="210"/>
      <c r="VUI116" s="211"/>
      <c r="VUJ116" s="210"/>
      <c r="VUK116" s="210"/>
      <c r="VUL116" s="210"/>
      <c r="VUM116" s="210"/>
      <c r="VUN116" s="212"/>
      <c r="VUO116" s="196"/>
      <c r="VUP116" s="197"/>
      <c r="VUQ116" s="209"/>
      <c r="VUR116" s="209"/>
      <c r="VUS116" s="210"/>
      <c r="VUT116" s="210"/>
      <c r="VUU116" s="211"/>
      <c r="VUV116" s="210"/>
      <c r="VUW116" s="210"/>
      <c r="VUX116" s="210"/>
      <c r="VUY116" s="210"/>
      <c r="VUZ116" s="212"/>
      <c r="VVA116" s="196"/>
      <c r="VVB116" s="197"/>
      <c r="VVC116" s="209"/>
      <c r="VVD116" s="209"/>
      <c r="VVE116" s="210"/>
      <c r="VVF116" s="210"/>
      <c r="VVG116" s="211"/>
      <c r="VVH116" s="210"/>
      <c r="VVI116" s="210"/>
      <c r="VVJ116" s="210"/>
      <c r="VVK116" s="210"/>
      <c r="VVL116" s="212"/>
      <c r="VVM116" s="196"/>
      <c r="VVN116" s="197"/>
      <c r="VVO116" s="209"/>
      <c r="VVP116" s="209"/>
      <c r="VVQ116" s="210"/>
      <c r="VVR116" s="210"/>
      <c r="VVS116" s="211"/>
      <c r="VVT116" s="210"/>
      <c r="VVU116" s="210"/>
      <c r="VVV116" s="210"/>
      <c r="VVW116" s="210"/>
      <c r="VVX116" s="212"/>
      <c r="VVY116" s="196"/>
      <c r="VVZ116" s="197"/>
      <c r="VWA116" s="209"/>
      <c r="VWB116" s="209"/>
      <c r="VWC116" s="210"/>
      <c r="VWD116" s="210"/>
      <c r="VWE116" s="211"/>
      <c r="VWF116" s="210"/>
      <c r="VWG116" s="210"/>
      <c r="VWH116" s="210"/>
      <c r="VWI116" s="210"/>
      <c r="VWJ116" s="212"/>
      <c r="VWK116" s="196"/>
      <c r="VWL116" s="197"/>
      <c r="VWM116" s="209"/>
      <c r="VWN116" s="209"/>
      <c r="VWO116" s="210"/>
      <c r="VWP116" s="210"/>
      <c r="VWQ116" s="211"/>
      <c r="VWR116" s="210"/>
      <c r="VWS116" s="210"/>
      <c r="VWT116" s="210"/>
      <c r="VWU116" s="210"/>
      <c r="VWV116" s="212"/>
      <c r="VWW116" s="196"/>
      <c r="VWX116" s="197"/>
      <c r="VWY116" s="209"/>
      <c r="VWZ116" s="209"/>
      <c r="VXA116" s="210"/>
      <c r="VXB116" s="210"/>
      <c r="VXC116" s="211"/>
      <c r="VXD116" s="210"/>
      <c r="VXE116" s="210"/>
      <c r="VXF116" s="210"/>
      <c r="VXG116" s="210"/>
      <c r="VXH116" s="212"/>
      <c r="VXI116" s="196"/>
      <c r="VXJ116" s="197"/>
      <c r="VXK116" s="209"/>
      <c r="VXL116" s="209"/>
      <c r="VXM116" s="210"/>
      <c r="VXN116" s="210"/>
      <c r="VXO116" s="211"/>
      <c r="VXP116" s="210"/>
      <c r="VXQ116" s="210"/>
      <c r="VXR116" s="210"/>
      <c r="VXS116" s="210"/>
      <c r="VXT116" s="212"/>
      <c r="VXU116" s="196"/>
      <c r="VXV116" s="197"/>
      <c r="VXW116" s="209"/>
      <c r="VXX116" s="209"/>
      <c r="VXY116" s="210"/>
      <c r="VXZ116" s="210"/>
      <c r="VYA116" s="211"/>
      <c r="VYB116" s="210"/>
      <c r="VYC116" s="210"/>
      <c r="VYD116" s="210"/>
      <c r="VYE116" s="210"/>
      <c r="VYF116" s="212"/>
      <c r="VYG116" s="196"/>
      <c r="VYH116" s="197"/>
      <c r="VYI116" s="209"/>
      <c r="VYJ116" s="209"/>
      <c r="VYK116" s="210"/>
      <c r="VYL116" s="210"/>
      <c r="VYM116" s="211"/>
      <c r="VYN116" s="210"/>
      <c r="VYO116" s="210"/>
      <c r="VYP116" s="210"/>
      <c r="VYQ116" s="210"/>
      <c r="VYR116" s="212"/>
      <c r="VYS116" s="196"/>
      <c r="VYT116" s="197"/>
      <c r="VYU116" s="209"/>
      <c r="VYV116" s="209"/>
      <c r="VYW116" s="210"/>
      <c r="VYX116" s="210"/>
      <c r="VYY116" s="211"/>
      <c r="VYZ116" s="210"/>
      <c r="VZA116" s="210"/>
      <c r="VZB116" s="210"/>
      <c r="VZC116" s="210"/>
      <c r="VZD116" s="212"/>
      <c r="VZE116" s="196"/>
      <c r="VZF116" s="197"/>
      <c r="VZG116" s="209"/>
      <c r="VZH116" s="209"/>
      <c r="VZI116" s="210"/>
      <c r="VZJ116" s="210"/>
      <c r="VZK116" s="211"/>
      <c r="VZL116" s="210"/>
      <c r="VZM116" s="210"/>
      <c r="VZN116" s="210"/>
      <c r="VZO116" s="210"/>
      <c r="VZP116" s="212"/>
      <c r="VZQ116" s="196"/>
      <c r="VZR116" s="197"/>
      <c r="VZS116" s="209"/>
      <c r="VZT116" s="209"/>
      <c r="VZU116" s="210"/>
      <c r="VZV116" s="210"/>
      <c r="VZW116" s="211"/>
      <c r="VZX116" s="210"/>
      <c r="VZY116" s="210"/>
      <c r="VZZ116" s="210"/>
      <c r="WAA116" s="210"/>
      <c r="WAB116" s="212"/>
      <c r="WAC116" s="196"/>
      <c r="WAD116" s="197"/>
      <c r="WAE116" s="209"/>
      <c r="WAF116" s="209"/>
      <c r="WAG116" s="210"/>
      <c r="WAH116" s="210"/>
      <c r="WAI116" s="211"/>
      <c r="WAJ116" s="210"/>
      <c r="WAK116" s="210"/>
      <c r="WAL116" s="210"/>
      <c r="WAM116" s="210"/>
      <c r="WAN116" s="212"/>
      <c r="WAO116" s="196"/>
      <c r="WAP116" s="197"/>
      <c r="WAQ116" s="209"/>
      <c r="WAR116" s="209"/>
      <c r="WAS116" s="210"/>
      <c r="WAT116" s="210"/>
      <c r="WAU116" s="211"/>
      <c r="WAV116" s="210"/>
      <c r="WAW116" s="210"/>
      <c r="WAX116" s="210"/>
      <c r="WAY116" s="210"/>
      <c r="WAZ116" s="212"/>
      <c r="WBA116" s="196"/>
      <c r="WBB116" s="197"/>
      <c r="WBC116" s="209"/>
      <c r="WBD116" s="209"/>
      <c r="WBE116" s="210"/>
      <c r="WBF116" s="210"/>
      <c r="WBG116" s="211"/>
      <c r="WBH116" s="210"/>
      <c r="WBI116" s="210"/>
      <c r="WBJ116" s="210"/>
      <c r="WBK116" s="210"/>
      <c r="WBL116" s="212"/>
      <c r="WBM116" s="196"/>
      <c r="WBN116" s="197"/>
      <c r="WBO116" s="209"/>
      <c r="WBP116" s="209"/>
      <c r="WBQ116" s="210"/>
      <c r="WBR116" s="210"/>
      <c r="WBS116" s="211"/>
      <c r="WBT116" s="210"/>
      <c r="WBU116" s="210"/>
      <c r="WBV116" s="210"/>
      <c r="WBW116" s="210"/>
      <c r="WBX116" s="212"/>
      <c r="WBY116" s="196"/>
      <c r="WBZ116" s="197"/>
      <c r="WCA116" s="209"/>
      <c r="WCB116" s="209"/>
      <c r="WCC116" s="210"/>
      <c r="WCD116" s="210"/>
      <c r="WCE116" s="211"/>
      <c r="WCF116" s="210"/>
      <c r="WCG116" s="210"/>
      <c r="WCH116" s="210"/>
      <c r="WCI116" s="210"/>
      <c r="WCJ116" s="212"/>
      <c r="WCK116" s="196"/>
      <c r="WCL116" s="197"/>
      <c r="WCM116" s="209"/>
      <c r="WCN116" s="209"/>
      <c r="WCO116" s="210"/>
      <c r="WCP116" s="210"/>
      <c r="WCQ116" s="211"/>
      <c r="WCR116" s="210"/>
      <c r="WCS116" s="210"/>
      <c r="WCT116" s="210"/>
      <c r="WCU116" s="210"/>
      <c r="WCV116" s="212"/>
      <c r="WCW116" s="196"/>
      <c r="WCX116" s="197"/>
      <c r="WCY116" s="209"/>
      <c r="WCZ116" s="209"/>
      <c r="WDA116" s="210"/>
      <c r="WDB116" s="210"/>
      <c r="WDC116" s="211"/>
      <c r="WDD116" s="210"/>
      <c r="WDE116" s="210"/>
      <c r="WDF116" s="210"/>
      <c r="WDG116" s="210"/>
      <c r="WDH116" s="212"/>
      <c r="WDI116" s="196"/>
      <c r="WDJ116" s="197"/>
      <c r="WDK116" s="209"/>
      <c r="WDL116" s="209"/>
      <c r="WDM116" s="210"/>
      <c r="WDN116" s="210"/>
      <c r="WDO116" s="211"/>
      <c r="WDP116" s="210"/>
      <c r="WDQ116" s="210"/>
      <c r="WDR116" s="210"/>
      <c r="WDS116" s="210"/>
      <c r="WDT116" s="212"/>
      <c r="WDU116" s="196"/>
      <c r="WDV116" s="197"/>
      <c r="WDW116" s="209"/>
      <c r="WDX116" s="209"/>
      <c r="WDY116" s="210"/>
      <c r="WDZ116" s="210"/>
      <c r="WEA116" s="211"/>
      <c r="WEB116" s="210"/>
      <c r="WEC116" s="210"/>
      <c r="WED116" s="210"/>
      <c r="WEE116" s="210"/>
      <c r="WEF116" s="212"/>
      <c r="WEG116" s="196"/>
      <c r="WEH116" s="197"/>
      <c r="WEI116" s="209"/>
      <c r="WEJ116" s="209"/>
      <c r="WEK116" s="210"/>
      <c r="WEL116" s="210"/>
      <c r="WEM116" s="211"/>
      <c r="WEN116" s="210"/>
      <c r="WEO116" s="210"/>
      <c r="WEP116" s="210"/>
      <c r="WEQ116" s="210"/>
      <c r="WER116" s="212"/>
      <c r="WES116" s="196"/>
      <c r="WET116" s="197"/>
      <c r="WEU116" s="209"/>
      <c r="WEV116" s="209"/>
      <c r="WEW116" s="210"/>
      <c r="WEX116" s="210"/>
      <c r="WEY116" s="211"/>
      <c r="WEZ116" s="210"/>
      <c r="WFA116" s="210"/>
      <c r="WFB116" s="210"/>
      <c r="WFC116" s="210"/>
      <c r="WFD116" s="212"/>
      <c r="WFE116" s="196"/>
      <c r="WFF116" s="197"/>
      <c r="WFG116" s="209"/>
      <c r="WFH116" s="209"/>
      <c r="WFI116" s="210"/>
      <c r="WFJ116" s="210"/>
      <c r="WFK116" s="211"/>
      <c r="WFL116" s="210"/>
      <c r="WFM116" s="210"/>
      <c r="WFN116" s="210"/>
      <c r="WFO116" s="210"/>
      <c r="WFP116" s="212"/>
      <c r="WFQ116" s="196"/>
      <c r="WFR116" s="197"/>
      <c r="WFS116" s="209"/>
      <c r="WFT116" s="209"/>
      <c r="WFU116" s="210"/>
      <c r="WFV116" s="210"/>
      <c r="WFW116" s="211"/>
      <c r="WFX116" s="210"/>
      <c r="WFY116" s="210"/>
      <c r="WFZ116" s="210"/>
      <c r="WGA116" s="210"/>
      <c r="WGB116" s="212"/>
      <c r="WGC116" s="196"/>
      <c r="WGD116" s="197"/>
      <c r="WGE116" s="209"/>
      <c r="WGF116" s="209"/>
      <c r="WGG116" s="210"/>
      <c r="WGH116" s="210"/>
      <c r="WGI116" s="211"/>
      <c r="WGJ116" s="210"/>
      <c r="WGK116" s="210"/>
      <c r="WGL116" s="210"/>
      <c r="WGM116" s="210"/>
      <c r="WGN116" s="212"/>
      <c r="WGO116" s="196"/>
      <c r="WGP116" s="197"/>
      <c r="WGQ116" s="209"/>
      <c r="WGR116" s="209"/>
      <c r="WGS116" s="210"/>
      <c r="WGT116" s="210"/>
      <c r="WGU116" s="211"/>
      <c r="WGV116" s="210"/>
      <c r="WGW116" s="210"/>
      <c r="WGX116" s="210"/>
      <c r="WGY116" s="210"/>
      <c r="WGZ116" s="212"/>
      <c r="WHA116" s="196"/>
      <c r="WHB116" s="197"/>
      <c r="WHC116" s="209"/>
      <c r="WHD116" s="209"/>
      <c r="WHE116" s="210"/>
      <c r="WHF116" s="210"/>
      <c r="WHG116" s="211"/>
      <c r="WHH116" s="210"/>
      <c r="WHI116" s="210"/>
      <c r="WHJ116" s="210"/>
      <c r="WHK116" s="210"/>
      <c r="WHL116" s="212"/>
      <c r="WHM116" s="196"/>
      <c r="WHN116" s="197"/>
      <c r="WHO116" s="209"/>
      <c r="WHP116" s="209"/>
      <c r="WHQ116" s="210"/>
      <c r="WHR116" s="210"/>
      <c r="WHS116" s="211"/>
      <c r="WHT116" s="210"/>
      <c r="WHU116" s="210"/>
      <c r="WHV116" s="210"/>
      <c r="WHW116" s="210"/>
      <c r="WHX116" s="212"/>
      <c r="WHY116" s="196"/>
      <c r="WHZ116" s="197"/>
      <c r="WIA116" s="209"/>
      <c r="WIB116" s="209"/>
      <c r="WIC116" s="210"/>
      <c r="WID116" s="210"/>
      <c r="WIE116" s="211"/>
      <c r="WIF116" s="210"/>
      <c r="WIG116" s="210"/>
      <c r="WIH116" s="210"/>
      <c r="WII116" s="210"/>
      <c r="WIJ116" s="212"/>
      <c r="WIK116" s="196"/>
      <c r="WIL116" s="197"/>
      <c r="WIM116" s="209"/>
      <c r="WIN116" s="209"/>
      <c r="WIO116" s="210"/>
      <c r="WIP116" s="210"/>
      <c r="WIQ116" s="211"/>
      <c r="WIR116" s="210"/>
      <c r="WIS116" s="210"/>
      <c r="WIT116" s="210"/>
      <c r="WIU116" s="210"/>
      <c r="WIV116" s="212"/>
      <c r="WIW116" s="196"/>
      <c r="WIX116" s="197"/>
      <c r="WIY116" s="209"/>
      <c r="WIZ116" s="209"/>
      <c r="WJA116" s="210"/>
      <c r="WJB116" s="210"/>
      <c r="WJC116" s="211"/>
      <c r="WJD116" s="210"/>
      <c r="WJE116" s="210"/>
      <c r="WJF116" s="210"/>
      <c r="WJG116" s="210"/>
      <c r="WJH116" s="212"/>
      <c r="WJI116" s="196"/>
      <c r="WJJ116" s="197"/>
      <c r="WJK116" s="209"/>
      <c r="WJL116" s="209"/>
      <c r="WJM116" s="210"/>
      <c r="WJN116" s="210"/>
      <c r="WJO116" s="211"/>
      <c r="WJP116" s="210"/>
      <c r="WJQ116" s="210"/>
      <c r="WJR116" s="210"/>
      <c r="WJS116" s="210"/>
      <c r="WJT116" s="212"/>
      <c r="WJU116" s="196"/>
      <c r="WJV116" s="197"/>
      <c r="WJW116" s="209"/>
      <c r="WJX116" s="209"/>
      <c r="WJY116" s="210"/>
      <c r="WJZ116" s="210"/>
      <c r="WKA116" s="211"/>
      <c r="WKB116" s="210"/>
      <c r="WKC116" s="210"/>
      <c r="WKD116" s="210"/>
      <c r="WKE116" s="210"/>
      <c r="WKF116" s="212"/>
      <c r="WKG116" s="196"/>
      <c r="WKH116" s="197"/>
      <c r="WKI116" s="209"/>
      <c r="WKJ116" s="209"/>
      <c r="WKK116" s="210"/>
      <c r="WKL116" s="210"/>
      <c r="WKM116" s="211"/>
      <c r="WKN116" s="210"/>
      <c r="WKO116" s="210"/>
      <c r="WKP116" s="210"/>
      <c r="WKQ116" s="210"/>
      <c r="WKR116" s="212"/>
      <c r="WKS116" s="196"/>
      <c r="WKT116" s="197"/>
      <c r="WKU116" s="209"/>
      <c r="WKV116" s="209"/>
      <c r="WKW116" s="210"/>
      <c r="WKX116" s="210"/>
      <c r="WKY116" s="211"/>
      <c r="WKZ116" s="210"/>
      <c r="WLA116" s="210"/>
      <c r="WLB116" s="210"/>
      <c r="WLC116" s="210"/>
      <c r="WLD116" s="212"/>
      <c r="WLE116" s="196"/>
      <c r="WLF116" s="197"/>
      <c r="WLG116" s="209"/>
      <c r="WLH116" s="209"/>
      <c r="WLI116" s="210"/>
      <c r="WLJ116" s="210"/>
      <c r="WLK116" s="211"/>
      <c r="WLL116" s="210"/>
      <c r="WLM116" s="210"/>
      <c r="WLN116" s="210"/>
      <c r="WLO116" s="210"/>
      <c r="WLP116" s="212"/>
      <c r="WLQ116" s="196"/>
      <c r="WLR116" s="197"/>
      <c r="WLS116" s="209"/>
      <c r="WLT116" s="209"/>
      <c r="WLU116" s="210"/>
      <c r="WLV116" s="210"/>
      <c r="WLW116" s="211"/>
      <c r="WLX116" s="210"/>
      <c r="WLY116" s="210"/>
      <c r="WLZ116" s="210"/>
      <c r="WMA116" s="210"/>
      <c r="WMB116" s="212"/>
      <c r="WMC116" s="196"/>
      <c r="WMD116" s="197"/>
      <c r="WME116" s="209"/>
      <c r="WMF116" s="209"/>
      <c r="WMG116" s="210"/>
      <c r="WMH116" s="210"/>
      <c r="WMI116" s="211"/>
      <c r="WMJ116" s="210"/>
      <c r="WMK116" s="210"/>
      <c r="WML116" s="210"/>
      <c r="WMM116" s="210"/>
      <c r="WMN116" s="212"/>
      <c r="WMO116" s="196"/>
      <c r="WMP116" s="197"/>
      <c r="WMQ116" s="209"/>
      <c r="WMR116" s="209"/>
      <c r="WMS116" s="210"/>
      <c r="WMT116" s="210"/>
      <c r="WMU116" s="211"/>
      <c r="WMV116" s="210"/>
      <c r="WMW116" s="210"/>
      <c r="WMX116" s="210"/>
      <c r="WMY116" s="210"/>
      <c r="WMZ116" s="212"/>
      <c r="WNA116" s="196"/>
      <c r="WNB116" s="197"/>
      <c r="WNC116" s="209"/>
      <c r="WND116" s="209"/>
      <c r="WNE116" s="210"/>
      <c r="WNF116" s="210"/>
      <c r="WNG116" s="211"/>
      <c r="WNH116" s="210"/>
      <c r="WNI116" s="210"/>
      <c r="WNJ116" s="210"/>
      <c r="WNK116" s="210"/>
      <c r="WNL116" s="212"/>
      <c r="WNM116" s="196"/>
      <c r="WNN116" s="197"/>
      <c r="WNO116" s="209"/>
      <c r="WNP116" s="209"/>
      <c r="WNQ116" s="210"/>
      <c r="WNR116" s="210"/>
      <c r="WNS116" s="211"/>
      <c r="WNT116" s="210"/>
      <c r="WNU116" s="210"/>
      <c r="WNV116" s="210"/>
      <c r="WNW116" s="210"/>
      <c r="WNX116" s="212"/>
      <c r="WNY116" s="196"/>
      <c r="WNZ116" s="197"/>
      <c r="WOA116" s="209"/>
      <c r="WOB116" s="209"/>
      <c r="WOC116" s="210"/>
      <c r="WOD116" s="210"/>
      <c r="WOE116" s="211"/>
      <c r="WOF116" s="210"/>
      <c r="WOG116" s="210"/>
      <c r="WOH116" s="210"/>
      <c r="WOI116" s="210"/>
      <c r="WOJ116" s="212"/>
      <c r="WOK116" s="196"/>
      <c r="WOL116" s="197"/>
      <c r="WOM116" s="209"/>
      <c r="WON116" s="209"/>
      <c r="WOO116" s="210"/>
      <c r="WOP116" s="210"/>
      <c r="WOQ116" s="211"/>
      <c r="WOR116" s="210"/>
      <c r="WOS116" s="210"/>
      <c r="WOT116" s="210"/>
      <c r="WOU116" s="210"/>
      <c r="WOV116" s="212"/>
      <c r="WOW116" s="196"/>
      <c r="WOX116" s="197"/>
      <c r="WOY116" s="209"/>
      <c r="WOZ116" s="209"/>
      <c r="WPA116" s="210"/>
      <c r="WPB116" s="210"/>
      <c r="WPC116" s="211"/>
      <c r="WPD116" s="210"/>
      <c r="WPE116" s="210"/>
      <c r="WPF116" s="210"/>
      <c r="WPG116" s="210"/>
      <c r="WPH116" s="212"/>
      <c r="WPI116" s="196"/>
      <c r="WPJ116" s="197"/>
      <c r="WPK116" s="209"/>
      <c r="WPL116" s="209"/>
      <c r="WPM116" s="210"/>
      <c r="WPN116" s="210"/>
      <c r="WPO116" s="211"/>
      <c r="WPP116" s="210"/>
      <c r="WPQ116" s="210"/>
      <c r="WPR116" s="210"/>
      <c r="WPS116" s="210"/>
      <c r="WPT116" s="212"/>
      <c r="WPU116" s="196"/>
      <c r="WPV116" s="197"/>
      <c r="WPW116" s="209"/>
      <c r="WPX116" s="209"/>
      <c r="WPY116" s="210"/>
      <c r="WPZ116" s="210"/>
      <c r="WQA116" s="211"/>
      <c r="WQB116" s="210"/>
      <c r="WQC116" s="210"/>
      <c r="WQD116" s="210"/>
      <c r="WQE116" s="210"/>
      <c r="WQF116" s="212"/>
      <c r="WQG116" s="196"/>
      <c r="WQH116" s="197"/>
      <c r="WQI116" s="209"/>
      <c r="WQJ116" s="209"/>
      <c r="WQK116" s="210"/>
      <c r="WQL116" s="210"/>
      <c r="WQM116" s="211"/>
      <c r="WQN116" s="210"/>
      <c r="WQO116" s="210"/>
      <c r="WQP116" s="210"/>
      <c r="WQQ116" s="210"/>
      <c r="WQR116" s="212"/>
      <c r="WQS116" s="196"/>
      <c r="WQT116" s="197"/>
      <c r="WQU116" s="209"/>
      <c r="WQV116" s="209"/>
      <c r="WQW116" s="210"/>
      <c r="WQX116" s="210"/>
      <c r="WQY116" s="211"/>
      <c r="WQZ116" s="210"/>
      <c r="WRA116" s="210"/>
      <c r="WRB116" s="210"/>
      <c r="WRC116" s="210"/>
      <c r="WRD116" s="212"/>
      <c r="WRE116" s="196"/>
      <c r="WRF116" s="197"/>
      <c r="WRG116" s="209"/>
      <c r="WRH116" s="209"/>
      <c r="WRI116" s="210"/>
      <c r="WRJ116" s="210"/>
      <c r="WRK116" s="211"/>
      <c r="WRL116" s="210"/>
      <c r="WRM116" s="210"/>
      <c r="WRN116" s="210"/>
      <c r="WRO116" s="210"/>
      <c r="WRP116" s="212"/>
      <c r="WRQ116" s="196"/>
      <c r="WRR116" s="197"/>
      <c r="WRS116" s="209"/>
      <c r="WRT116" s="209"/>
      <c r="WRU116" s="210"/>
      <c r="WRV116" s="210"/>
      <c r="WRW116" s="211"/>
      <c r="WRX116" s="210"/>
      <c r="WRY116" s="210"/>
      <c r="WRZ116" s="210"/>
      <c r="WSA116" s="210"/>
      <c r="WSB116" s="212"/>
      <c r="WSC116" s="196"/>
      <c r="WSD116" s="197"/>
      <c r="WSE116" s="209"/>
      <c r="WSF116" s="209"/>
      <c r="WSG116" s="210"/>
      <c r="WSH116" s="210"/>
      <c r="WSI116" s="211"/>
      <c r="WSJ116" s="210"/>
      <c r="WSK116" s="210"/>
      <c r="WSL116" s="210"/>
      <c r="WSM116" s="210"/>
      <c r="WSN116" s="212"/>
      <c r="WSO116" s="196"/>
      <c r="WSP116" s="197"/>
      <c r="WSQ116" s="209"/>
      <c r="WSR116" s="209"/>
      <c r="WSS116" s="210"/>
      <c r="WST116" s="210"/>
      <c r="WSU116" s="211"/>
      <c r="WSV116" s="210"/>
      <c r="WSW116" s="210"/>
      <c r="WSX116" s="210"/>
      <c r="WSY116" s="210"/>
      <c r="WSZ116" s="212"/>
      <c r="WTA116" s="196"/>
      <c r="WTB116" s="197"/>
      <c r="WTC116" s="209"/>
      <c r="WTD116" s="209"/>
      <c r="WTE116" s="210"/>
      <c r="WTF116" s="210"/>
      <c r="WTG116" s="211"/>
      <c r="WTH116" s="210"/>
      <c r="WTI116" s="210"/>
      <c r="WTJ116" s="210"/>
      <c r="WTK116" s="210"/>
      <c r="WTL116" s="212"/>
      <c r="WTM116" s="196"/>
      <c r="WTN116" s="197"/>
      <c r="WTO116" s="209"/>
      <c r="WTP116" s="209"/>
      <c r="WTQ116" s="210"/>
      <c r="WTR116" s="210"/>
      <c r="WTS116" s="211"/>
      <c r="WTT116" s="210"/>
      <c r="WTU116" s="210"/>
      <c r="WTV116" s="210"/>
      <c r="WTW116" s="210"/>
      <c r="WTX116" s="212"/>
      <c r="WTY116" s="196"/>
      <c r="WTZ116" s="197"/>
      <c r="WUA116" s="209"/>
      <c r="WUB116" s="209"/>
      <c r="WUC116" s="210"/>
      <c r="WUD116" s="210"/>
      <c r="WUE116" s="211"/>
      <c r="WUF116" s="210"/>
      <c r="WUG116" s="210"/>
      <c r="WUH116" s="210"/>
      <c r="WUI116" s="210"/>
      <c r="WUJ116" s="212"/>
      <c r="WUK116" s="196"/>
      <c r="WUL116" s="197"/>
      <c r="WUM116" s="209"/>
      <c r="WUN116" s="209"/>
      <c r="WUO116" s="210"/>
      <c r="WUP116" s="210"/>
      <c r="WUQ116" s="211"/>
      <c r="WUR116" s="210"/>
      <c r="WUS116" s="210"/>
      <c r="WUT116" s="210"/>
      <c r="WUU116" s="210"/>
      <c r="WUV116" s="212"/>
      <c r="WUW116" s="196"/>
      <c r="WUX116" s="197"/>
      <c r="WUY116" s="209"/>
      <c r="WUZ116" s="209"/>
      <c r="WVA116" s="210"/>
      <c r="WVB116" s="210"/>
      <c r="WVC116" s="211"/>
      <c r="WVD116" s="210"/>
      <c r="WVE116" s="210"/>
      <c r="WVF116" s="210"/>
      <c r="WVG116" s="210"/>
      <c r="WVH116" s="212"/>
      <c r="WVI116" s="196"/>
      <c r="WVJ116" s="197"/>
      <c r="WVK116" s="209"/>
      <c r="WVL116" s="209"/>
      <c r="WVM116" s="210"/>
      <c r="WVN116" s="210"/>
      <c r="WVO116" s="211"/>
      <c r="WVP116" s="210"/>
      <c r="WVQ116" s="210"/>
      <c r="WVR116" s="210"/>
      <c r="WVS116" s="210"/>
      <c r="WVT116" s="212"/>
      <c r="WVU116" s="196"/>
      <c r="WVV116" s="197"/>
      <c r="WVW116" s="209"/>
      <c r="WVX116" s="209"/>
      <c r="WVY116" s="210"/>
      <c r="WVZ116" s="210"/>
      <c r="WWA116" s="211"/>
      <c r="WWB116" s="210"/>
      <c r="WWC116" s="210"/>
      <c r="WWD116" s="210"/>
      <c r="WWE116" s="210"/>
      <c r="WWF116" s="212"/>
      <c r="WWG116" s="196"/>
      <c r="WWH116" s="197"/>
      <c r="WWI116" s="209"/>
      <c r="WWJ116" s="209"/>
      <c r="WWK116" s="210"/>
      <c r="WWL116" s="210"/>
      <c r="WWM116" s="211"/>
      <c r="WWN116" s="210"/>
      <c r="WWO116" s="210"/>
      <c r="WWP116" s="210"/>
      <c r="WWQ116" s="210"/>
      <c r="WWR116" s="212"/>
      <c r="WWS116" s="196"/>
      <c r="WWT116" s="197"/>
      <c r="WWU116" s="209"/>
      <c r="WWV116" s="209"/>
      <c r="WWW116" s="210"/>
      <c r="WWX116" s="210"/>
      <c r="WWY116" s="211"/>
      <c r="WWZ116" s="210"/>
      <c r="WXA116" s="210"/>
      <c r="WXB116" s="210"/>
      <c r="WXC116" s="210"/>
      <c r="WXD116" s="212"/>
      <c r="WXE116" s="196"/>
      <c r="WXF116" s="197"/>
      <c r="WXG116" s="209"/>
      <c r="WXH116" s="209"/>
      <c r="WXI116" s="210"/>
      <c r="WXJ116" s="210"/>
      <c r="WXK116" s="211"/>
      <c r="WXL116" s="210"/>
      <c r="WXM116" s="210"/>
      <c r="WXN116" s="210"/>
      <c r="WXO116" s="210"/>
      <c r="WXP116" s="212"/>
      <c r="WXQ116" s="196"/>
      <c r="WXR116" s="197"/>
      <c r="WXS116" s="209"/>
      <c r="WXT116" s="209"/>
      <c r="WXU116" s="210"/>
      <c r="WXV116" s="210"/>
      <c r="WXW116" s="211"/>
      <c r="WXX116" s="210"/>
      <c r="WXY116" s="210"/>
      <c r="WXZ116" s="210"/>
      <c r="WYA116" s="210"/>
      <c r="WYB116" s="212"/>
      <c r="WYC116" s="196"/>
      <c r="WYD116" s="197"/>
      <c r="WYE116" s="209"/>
      <c r="WYF116" s="209"/>
      <c r="WYG116" s="210"/>
      <c r="WYH116" s="210"/>
      <c r="WYI116" s="211"/>
      <c r="WYJ116" s="210"/>
      <c r="WYK116" s="210"/>
      <c r="WYL116" s="210"/>
      <c r="WYM116" s="210"/>
      <c r="WYN116" s="212"/>
      <c r="WYO116" s="196"/>
      <c r="WYP116" s="197"/>
      <c r="WYQ116" s="209"/>
      <c r="WYR116" s="209"/>
      <c r="WYS116" s="210"/>
      <c r="WYT116" s="210"/>
      <c r="WYU116" s="211"/>
      <c r="WYV116" s="210"/>
      <c r="WYW116" s="210"/>
      <c r="WYX116" s="210"/>
      <c r="WYY116" s="210"/>
      <c r="WYZ116" s="212"/>
      <c r="WZA116" s="196"/>
      <c r="WZB116" s="197"/>
      <c r="WZC116" s="209"/>
      <c r="WZD116" s="209"/>
      <c r="WZE116" s="210"/>
      <c r="WZF116" s="210"/>
      <c r="WZG116" s="211"/>
      <c r="WZH116" s="210"/>
      <c r="WZI116" s="210"/>
      <c r="WZJ116" s="210"/>
      <c r="WZK116" s="210"/>
      <c r="WZL116" s="212"/>
      <c r="WZM116" s="196"/>
      <c r="WZN116" s="197"/>
      <c r="WZO116" s="209"/>
      <c r="WZP116" s="209"/>
      <c r="WZQ116" s="210"/>
      <c r="WZR116" s="210"/>
      <c r="WZS116" s="211"/>
      <c r="WZT116" s="210"/>
      <c r="WZU116" s="210"/>
      <c r="WZV116" s="210"/>
      <c r="WZW116" s="210"/>
      <c r="WZX116" s="212"/>
      <c r="WZY116" s="196"/>
      <c r="WZZ116" s="197"/>
      <c r="XAA116" s="209"/>
      <c r="XAB116" s="209"/>
      <c r="XAC116" s="210"/>
      <c r="XAD116" s="210"/>
      <c r="XAE116" s="211"/>
      <c r="XAF116" s="210"/>
      <c r="XAG116" s="210"/>
      <c r="XAH116" s="210"/>
      <c r="XAI116" s="210"/>
      <c r="XAJ116" s="212"/>
      <c r="XAK116" s="196"/>
      <c r="XAL116" s="197"/>
      <c r="XAM116" s="209"/>
      <c r="XAN116" s="209"/>
      <c r="XAO116" s="210"/>
      <c r="XAP116" s="210"/>
      <c r="XAQ116" s="211"/>
      <c r="XAR116" s="210"/>
      <c r="XAS116" s="210"/>
      <c r="XAT116" s="210"/>
      <c r="XAU116" s="210"/>
      <c r="XAV116" s="212"/>
      <c r="XAW116" s="196"/>
      <c r="XAX116" s="197"/>
      <c r="XAY116" s="209"/>
      <c r="XAZ116" s="209"/>
      <c r="XBA116" s="210"/>
      <c r="XBB116" s="210"/>
      <c r="XBC116" s="211"/>
      <c r="XBD116" s="210"/>
      <c r="XBE116" s="210"/>
      <c r="XBF116" s="210"/>
      <c r="XBG116" s="210"/>
      <c r="XBH116" s="212"/>
      <c r="XBI116" s="196"/>
      <c r="XBJ116" s="197"/>
      <c r="XBK116" s="209"/>
      <c r="XBL116" s="209"/>
      <c r="XBM116" s="210"/>
      <c r="XBN116" s="210"/>
      <c r="XBO116" s="211"/>
      <c r="XBP116" s="210"/>
      <c r="XBQ116" s="210"/>
      <c r="XBR116" s="210"/>
      <c r="XBS116" s="210"/>
      <c r="XBT116" s="212"/>
      <c r="XBU116" s="196"/>
      <c r="XBV116" s="197"/>
      <c r="XBW116" s="209"/>
      <c r="XBX116" s="209"/>
      <c r="XBY116" s="210"/>
      <c r="XBZ116" s="210"/>
      <c r="XCA116" s="211"/>
      <c r="XCB116" s="210"/>
      <c r="XCC116" s="210"/>
      <c r="XCD116" s="210"/>
      <c r="XCE116" s="210"/>
      <c r="XCF116" s="212"/>
      <c r="XCG116" s="196"/>
      <c r="XCH116" s="197"/>
      <c r="XCI116" s="209"/>
      <c r="XCJ116" s="209"/>
      <c r="XCK116" s="210"/>
      <c r="XCL116" s="210"/>
      <c r="XCM116" s="211"/>
      <c r="XCN116" s="210"/>
      <c r="XCO116" s="210"/>
      <c r="XCP116" s="210"/>
      <c r="XCQ116" s="210"/>
      <c r="XCR116" s="212"/>
      <c r="XCS116" s="196"/>
      <c r="XCT116" s="197"/>
      <c r="XCU116" s="209"/>
      <c r="XCV116" s="209"/>
      <c r="XCW116" s="210"/>
      <c r="XCX116" s="210"/>
      <c r="XCY116" s="211"/>
      <c r="XCZ116" s="210"/>
      <c r="XDA116" s="210"/>
      <c r="XDB116" s="210"/>
      <c r="XDC116" s="210"/>
      <c r="XDD116" s="212"/>
      <c r="XDE116" s="196"/>
      <c r="XDF116" s="197"/>
      <c r="XDG116" s="209"/>
      <c r="XDH116" s="209"/>
      <c r="XDI116" s="210"/>
      <c r="XDJ116" s="210"/>
      <c r="XDK116" s="211"/>
      <c r="XDL116" s="210"/>
      <c r="XDM116" s="210"/>
      <c r="XDN116" s="210"/>
      <c r="XDO116" s="210"/>
      <c r="XDP116" s="212"/>
      <c r="XDQ116" s="196"/>
      <c r="XDR116" s="197"/>
      <c r="XDS116" s="209"/>
      <c r="XDT116" s="209"/>
      <c r="XDU116" s="210"/>
      <c r="XDV116" s="210"/>
      <c r="XDW116" s="211"/>
      <c r="XDX116" s="210"/>
      <c r="XDY116" s="210"/>
      <c r="XDZ116" s="210"/>
      <c r="XEA116" s="210"/>
      <c r="XEB116" s="212"/>
      <c r="XEC116" s="196"/>
      <c r="XED116" s="197"/>
      <c r="XEE116" s="209"/>
      <c r="XEF116" s="209"/>
      <c r="XEG116" s="210"/>
      <c r="XEH116" s="210"/>
      <c r="XEI116" s="211"/>
      <c r="XEJ116" s="210"/>
      <c r="XEK116" s="210"/>
      <c r="XEL116" s="210"/>
      <c r="XEM116" s="210"/>
      <c r="XEN116" s="212"/>
      <c r="XEO116" s="196"/>
      <c r="XEP116" s="197"/>
      <c r="XEQ116" s="209"/>
      <c r="XER116" s="209"/>
      <c r="XES116" s="210"/>
      <c r="XET116" s="210"/>
      <c r="XEU116" s="211"/>
      <c r="XEV116" s="210"/>
      <c r="XEW116" s="210"/>
      <c r="XEX116" s="210"/>
      <c r="XEY116" s="210"/>
      <c r="XEZ116" s="212"/>
      <c r="XFA116" s="196"/>
      <c r="XFB116" s="197"/>
      <c r="XFC116" s="209"/>
      <c r="XFD116" s="209"/>
    </row>
    <row r="117" spans="1:16384" s="69" customFormat="1" ht="29.25" customHeight="1" x14ac:dyDescent="0.3">
      <c r="A117" s="97">
        <v>1</v>
      </c>
      <c r="B117" s="137" t="s">
        <v>270</v>
      </c>
      <c r="C117" s="134" t="s">
        <v>33</v>
      </c>
      <c r="D117" s="134"/>
      <c r="E117" s="138">
        <v>10.199999999999999</v>
      </c>
      <c r="F117" s="312"/>
      <c r="G117" s="138"/>
      <c r="H117" s="138"/>
      <c r="I117" s="138"/>
      <c r="J117" s="138"/>
      <c r="K117" s="138"/>
      <c r="L117" s="139"/>
      <c r="M117" s="551"/>
    </row>
    <row r="118" spans="1:16384" s="69" customFormat="1" ht="13.8" x14ac:dyDescent="0.3">
      <c r="A118" s="247"/>
      <c r="B118" s="24" t="s">
        <v>8</v>
      </c>
      <c r="C118" s="79" t="s">
        <v>33</v>
      </c>
      <c r="D118" s="79">
        <v>1</v>
      </c>
      <c r="E118" s="58"/>
      <c r="F118" s="297"/>
      <c r="G118" s="58"/>
      <c r="H118" s="58"/>
      <c r="I118" s="58"/>
      <c r="J118" s="58"/>
      <c r="K118" s="58"/>
      <c r="L118" s="57"/>
    </row>
    <row r="119" spans="1:16384" s="69" customFormat="1" ht="13.8" x14ac:dyDescent="0.3">
      <c r="A119" s="247"/>
      <c r="B119" s="24" t="s">
        <v>10</v>
      </c>
      <c r="C119" s="79" t="s">
        <v>15</v>
      </c>
      <c r="D119" s="79">
        <v>1.7000000000000001E-2</v>
      </c>
      <c r="E119" s="58"/>
      <c r="F119" s="297"/>
      <c r="G119" s="58"/>
      <c r="H119" s="58"/>
      <c r="I119" s="58"/>
      <c r="J119" s="58"/>
      <c r="K119" s="58"/>
      <c r="L119" s="57"/>
    </row>
    <row r="120" spans="1:16384" s="69" customFormat="1" ht="13.8" x14ac:dyDescent="0.3">
      <c r="A120" s="247"/>
      <c r="B120" s="24" t="s">
        <v>12</v>
      </c>
      <c r="C120" s="79"/>
      <c r="D120" s="79"/>
      <c r="E120" s="58"/>
      <c r="F120" s="297"/>
      <c r="G120" s="58"/>
      <c r="H120" s="58"/>
      <c r="I120" s="58"/>
      <c r="J120" s="58"/>
      <c r="K120" s="58"/>
      <c r="L120" s="57"/>
    </row>
    <row r="121" spans="1:16384" s="69" customFormat="1" ht="17.25" customHeight="1" x14ac:dyDescent="0.3">
      <c r="A121" s="247"/>
      <c r="B121" s="24" t="s">
        <v>330</v>
      </c>
      <c r="C121" s="79" t="s">
        <v>33</v>
      </c>
      <c r="D121" s="79">
        <v>1.05</v>
      </c>
      <c r="E121" s="58"/>
      <c r="F121" s="297"/>
      <c r="G121" s="56"/>
      <c r="H121" s="58"/>
      <c r="I121" s="58"/>
      <c r="J121" s="58"/>
      <c r="K121" s="58"/>
      <c r="L121" s="57"/>
    </row>
    <row r="122" spans="1:16384" s="69" customFormat="1" thickBot="1" x14ac:dyDescent="0.35">
      <c r="A122" s="279"/>
      <c r="B122" s="98" t="s">
        <v>14</v>
      </c>
      <c r="C122" s="141" t="s">
        <v>15</v>
      </c>
      <c r="D122" s="141">
        <v>0.22</v>
      </c>
      <c r="E122" s="142"/>
      <c r="F122" s="313"/>
      <c r="G122" s="143"/>
      <c r="H122" s="142"/>
      <c r="I122" s="142"/>
      <c r="J122" s="142"/>
      <c r="K122" s="142"/>
      <c r="L122" s="144"/>
    </row>
    <row r="123" spans="1:16384" s="158" customFormat="1" ht="27.75" customHeight="1" x14ac:dyDescent="0.3">
      <c r="A123" s="555">
        <v>2</v>
      </c>
      <c r="B123" s="137" t="s">
        <v>73</v>
      </c>
      <c r="C123" s="134" t="s">
        <v>33</v>
      </c>
      <c r="D123" s="161"/>
      <c r="E123" s="162">
        <f>E117</f>
        <v>10.199999999999999</v>
      </c>
      <c r="F123" s="163"/>
      <c r="G123" s="163"/>
      <c r="H123" s="163"/>
      <c r="I123" s="163"/>
      <c r="J123" s="163"/>
      <c r="K123" s="163"/>
      <c r="L123" s="164"/>
    </row>
    <row r="124" spans="1:16384" s="158" customFormat="1" ht="13.8" x14ac:dyDescent="0.3">
      <c r="A124" s="247"/>
      <c r="B124" s="24" t="s">
        <v>8</v>
      </c>
      <c r="C124" s="79" t="s">
        <v>33</v>
      </c>
      <c r="D124" s="159">
        <v>1</v>
      </c>
      <c r="E124" s="159"/>
      <c r="F124" s="166"/>
      <c r="G124" s="165"/>
      <c r="H124" s="165"/>
      <c r="I124" s="165"/>
      <c r="J124" s="165"/>
      <c r="K124" s="165"/>
      <c r="L124" s="160"/>
    </row>
    <row r="125" spans="1:16384" s="158" customFormat="1" ht="13.8" x14ac:dyDescent="0.3">
      <c r="A125" s="247"/>
      <c r="B125" s="24" t="s">
        <v>10</v>
      </c>
      <c r="C125" s="79" t="s">
        <v>15</v>
      </c>
      <c r="D125" s="159">
        <v>1.7000000000000001E-2</v>
      </c>
      <c r="E125" s="159"/>
      <c r="F125" s="166"/>
      <c r="G125" s="165"/>
      <c r="H125" s="165"/>
      <c r="I125" s="165"/>
      <c r="J125" s="58"/>
      <c r="K125" s="165"/>
      <c r="L125" s="160"/>
    </row>
    <row r="126" spans="1:16384" s="158" customFormat="1" ht="13.8" x14ac:dyDescent="0.3">
      <c r="A126" s="247"/>
      <c r="B126" s="24" t="s">
        <v>12</v>
      </c>
      <c r="C126" s="79"/>
      <c r="D126" s="159"/>
      <c r="E126" s="159"/>
      <c r="F126" s="166"/>
      <c r="G126" s="165"/>
      <c r="H126" s="165"/>
      <c r="I126" s="165"/>
      <c r="J126" s="165"/>
      <c r="K126" s="165"/>
      <c r="L126" s="160"/>
    </row>
    <row r="127" spans="1:16384" s="158" customFormat="1" ht="27.6" x14ac:dyDescent="0.3">
      <c r="A127" s="247"/>
      <c r="B127" s="24" t="s">
        <v>226</v>
      </c>
      <c r="C127" s="79" t="s">
        <v>33</v>
      </c>
      <c r="D127" s="159">
        <v>1.1100000000000001</v>
      </c>
      <c r="E127" s="159"/>
      <c r="F127" s="166"/>
      <c r="G127" s="166"/>
      <c r="H127" s="165"/>
      <c r="I127" s="165"/>
      <c r="J127" s="165"/>
      <c r="K127" s="165"/>
      <c r="L127" s="160"/>
    </row>
    <row r="128" spans="1:16384" s="158" customFormat="1" ht="18.75" customHeight="1" thickBot="1" x14ac:dyDescent="0.35">
      <c r="A128" s="247"/>
      <c r="B128" s="24" t="s">
        <v>14</v>
      </c>
      <c r="C128" s="79" t="s">
        <v>15</v>
      </c>
      <c r="D128" s="159">
        <v>0.22</v>
      </c>
      <c r="E128" s="159"/>
      <c r="F128" s="313"/>
      <c r="G128" s="166"/>
      <c r="H128" s="165"/>
      <c r="I128" s="165"/>
      <c r="J128" s="165"/>
      <c r="K128" s="165"/>
      <c r="L128" s="160"/>
    </row>
    <row r="129" spans="1:17" s="158" customFormat="1" ht="32.25" customHeight="1" x14ac:dyDescent="0.3">
      <c r="A129" s="562">
        <v>3</v>
      </c>
      <c r="B129" s="137" t="s">
        <v>474</v>
      </c>
      <c r="C129" s="206" t="s">
        <v>33</v>
      </c>
      <c r="D129" s="206"/>
      <c r="E129" s="138">
        <v>10.199999999999999</v>
      </c>
      <c r="F129" s="312"/>
      <c r="G129" s="138"/>
      <c r="H129" s="138"/>
      <c r="I129" s="138"/>
      <c r="J129" s="138"/>
      <c r="K129" s="138"/>
      <c r="L129" s="139"/>
    </row>
    <row r="130" spans="1:17" s="158" customFormat="1" ht="18" customHeight="1" x14ac:dyDescent="0.3">
      <c r="A130" s="172"/>
      <c r="B130" s="55" t="s">
        <v>8</v>
      </c>
      <c r="C130" s="179" t="s">
        <v>33</v>
      </c>
      <c r="D130" s="79">
        <v>1</v>
      </c>
      <c r="E130" s="56"/>
      <c r="F130" s="297"/>
      <c r="G130" s="56"/>
      <c r="H130" s="56"/>
      <c r="I130" s="56"/>
      <c r="J130" s="56"/>
      <c r="K130" s="56"/>
      <c r="L130" s="57"/>
    </row>
    <row r="131" spans="1:17" s="158" customFormat="1" ht="18" customHeight="1" x14ac:dyDescent="0.3">
      <c r="A131" s="172"/>
      <c r="B131" s="55" t="s">
        <v>10</v>
      </c>
      <c r="C131" s="179" t="s">
        <v>15</v>
      </c>
      <c r="D131" s="79">
        <v>1</v>
      </c>
      <c r="E131" s="56"/>
      <c r="F131" s="297"/>
      <c r="G131" s="56"/>
      <c r="H131" s="56"/>
      <c r="I131" s="56"/>
      <c r="J131" s="58"/>
      <c r="K131" s="56"/>
      <c r="L131" s="57"/>
    </row>
    <row r="132" spans="1:17" s="158" customFormat="1" ht="18" customHeight="1" x14ac:dyDescent="0.3">
      <c r="A132" s="172"/>
      <c r="B132" s="55" t="s">
        <v>12</v>
      </c>
      <c r="C132" s="179"/>
      <c r="D132" s="79"/>
      <c r="E132" s="56"/>
      <c r="F132" s="297"/>
      <c r="G132" s="56"/>
      <c r="H132" s="56"/>
      <c r="I132" s="56"/>
      <c r="J132" s="56"/>
      <c r="K132" s="56"/>
      <c r="L132" s="57"/>
    </row>
    <row r="133" spans="1:17" s="184" customFormat="1" ht="18" customHeight="1" x14ac:dyDescent="0.3">
      <c r="A133" s="120"/>
      <c r="B133" s="24" t="s">
        <v>269</v>
      </c>
      <c r="C133" s="121" t="s">
        <v>27</v>
      </c>
      <c r="D133" s="79">
        <f>(2.04+0.51*21)/100</f>
        <v>0.1275</v>
      </c>
      <c r="E133" s="122"/>
      <c r="F133" s="649"/>
      <c r="G133" s="166"/>
      <c r="H133" s="165"/>
      <c r="I133" s="165"/>
      <c r="J133" s="165"/>
      <c r="K133" s="165"/>
      <c r="L133" s="160"/>
      <c r="M133"/>
      <c r="N133"/>
      <c r="O133"/>
      <c r="P133"/>
      <c r="Q133"/>
    </row>
    <row r="134" spans="1:17" s="184" customFormat="1" ht="18" customHeight="1" x14ac:dyDescent="0.3">
      <c r="A134" s="272"/>
      <c r="B134" s="24" t="s">
        <v>122</v>
      </c>
      <c r="C134" s="273" t="s">
        <v>27</v>
      </c>
      <c r="D134" s="218">
        <f>0.126*1.23</f>
        <v>0.15498000000000001</v>
      </c>
      <c r="E134" s="274"/>
      <c r="F134" s="649"/>
      <c r="G134" s="166"/>
      <c r="H134" s="201"/>
      <c r="I134" s="201"/>
      <c r="J134" s="201"/>
      <c r="K134" s="201"/>
      <c r="L134" s="160"/>
      <c r="M134"/>
      <c r="N134"/>
      <c r="O134"/>
      <c r="P134"/>
      <c r="Q134"/>
    </row>
    <row r="135" spans="1:17" s="184" customFormat="1" ht="18" customHeight="1" x14ac:dyDescent="0.3">
      <c r="A135" s="272"/>
      <c r="B135" s="24" t="s">
        <v>138</v>
      </c>
      <c r="C135" s="273" t="s">
        <v>228</v>
      </c>
      <c r="D135" s="218">
        <f>0.126*0.306</f>
        <v>3.8556E-2</v>
      </c>
      <c r="E135" s="274"/>
      <c r="F135" s="649"/>
      <c r="G135" s="166"/>
      <c r="H135" s="201"/>
      <c r="I135" s="201"/>
      <c r="J135" s="201"/>
      <c r="K135" s="201"/>
      <c r="L135" s="160"/>
      <c r="M135"/>
      <c r="N135"/>
      <c r="O135"/>
      <c r="P135"/>
      <c r="Q135"/>
    </row>
    <row r="136" spans="1:17" s="69" customFormat="1" ht="13.95" customHeight="1" x14ac:dyDescent="0.3">
      <c r="A136" s="247"/>
      <c r="B136" s="24" t="s">
        <v>470</v>
      </c>
      <c r="C136" s="79" t="s">
        <v>33</v>
      </c>
      <c r="D136" s="79">
        <v>1.03</v>
      </c>
      <c r="E136" s="58"/>
      <c r="F136" s="297"/>
      <c r="G136" s="56"/>
      <c r="H136" s="58"/>
      <c r="I136" s="58"/>
      <c r="J136" s="58"/>
      <c r="K136" s="58"/>
      <c r="L136" s="57"/>
    </row>
    <row r="137" spans="1:17" s="208" customFormat="1" ht="18" customHeight="1" thickBot="1" x14ac:dyDescent="0.35">
      <c r="A137" s="563"/>
      <c r="B137" s="193" t="s">
        <v>14</v>
      </c>
      <c r="C137" s="207" t="s">
        <v>15</v>
      </c>
      <c r="D137" s="207">
        <v>1</v>
      </c>
      <c r="E137" s="143"/>
      <c r="F137" s="313"/>
      <c r="G137" s="143"/>
      <c r="H137" s="143"/>
      <c r="I137" s="143"/>
      <c r="J137" s="143"/>
      <c r="K137" s="143"/>
      <c r="L137" s="144"/>
    </row>
    <row r="138" spans="1:17" s="69" customFormat="1" ht="27.6" x14ac:dyDescent="0.3">
      <c r="A138" s="555">
        <v>4</v>
      </c>
      <c r="B138" s="137" t="s">
        <v>219</v>
      </c>
      <c r="C138" s="134" t="s">
        <v>33</v>
      </c>
      <c r="D138" s="134"/>
      <c r="E138" s="138">
        <f>E129</f>
        <v>10.199999999999999</v>
      </c>
      <c r="F138" s="312"/>
      <c r="G138" s="138"/>
      <c r="H138" s="138"/>
      <c r="I138" s="138"/>
      <c r="J138" s="138"/>
      <c r="K138" s="138"/>
      <c r="L138" s="139"/>
    </row>
    <row r="139" spans="1:17" s="69" customFormat="1" ht="13.95" customHeight="1" x14ac:dyDescent="0.3">
      <c r="A139" s="247"/>
      <c r="B139" s="24" t="s">
        <v>8</v>
      </c>
      <c r="C139" s="79" t="s">
        <v>33</v>
      </c>
      <c r="D139" s="79">
        <v>1</v>
      </c>
      <c r="E139" s="58"/>
      <c r="F139" s="297"/>
      <c r="G139" s="58"/>
      <c r="H139" s="58"/>
      <c r="I139" s="58"/>
      <c r="J139" s="58"/>
      <c r="K139" s="58"/>
      <c r="L139" s="57"/>
    </row>
    <row r="140" spans="1:17" s="69" customFormat="1" ht="13.95" customHeight="1" x14ac:dyDescent="0.3">
      <c r="A140" s="247"/>
      <c r="B140" s="24" t="s">
        <v>10</v>
      </c>
      <c r="C140" s="79" t="s">
        <v>15</v>
      </c>
      <c r="D140" s="79">
        <v>1.7000000000000001E-2</v>
      </c>
      <c r="E140" s="58"/>
      <c r="F140" s="297"/>
      <c r="G140" s="58"/>
      <c r="H140" s="58"/>
      <c r="I140" s="58"/>
      <c r="J140" s="58"/>
      <c r="K140" s="58"/>
      <c r="L140" s="57"/>
    </row>
    <row r="141" spans="1:17" s="69" customFormat="1" ht="13.95" customHeight="1" x14ac:dyDescent="0.3">
      <c r="A141" s="247"/>
      <c r="B141" s="24" t="s">
        <v>12</v>
      </c>
      <c r="C141" s="79"/>
      <c r="D141" s="79"/>
      <c r="E141" s="58"/>
      <c r="F141" s="297"/>
      <c r="G141" s="58"/>
      <c r="H141" s="58"/>
      <c r="I141" s="58"/>
      <c r="J141" s="58"/>
      <c r="K141" s="58"/>
      <c r="L141" s="57"/>
    </row>
    <row r="142" spans="1:17" s="69" customFormat="1" ht="42.75" customHeight="1" x14ac:dyDescent="0.3">
      <c r="A142" s="247"/>
      <c r="B142" s="24" t="s">
        <v>214</v>
      </c>
      <c r="C142" s="79" t="s">
        <v>13</v>
      </c>
      <c r="D142" s="79">
        <v>3.3</v>
      </c>
      <c r="E142" s="58"/>
      <c r="F142" s="297"/>
      <c r="G142" s="56"/>
      <c r="H142" s="58"/>
      <c r="I142" s="58"/>
      <c r="J142" s="58"/>
      <c r="K142" s="58"/>
      <c r="L142" s="57"/>
      <c r="M142" s="126"/>
    </row>
    <row r="143" spans="1:17" s="69" customFormat="1" ht="13.95" customHeight="1" thickBot="1" x14ac:dyDescent="0.35">
      <c r="A143" s="279"/>
      <c r="B143" s="98" t="s">
        <v>14</v>
      </c>
      <c r="C143" s="141" t="s">
        <v>15</v>
      </c>
      <c r="D143" s="141">
        <v>0.22</v>
      </c>
      <c r="E143" s="142"/>
      <c r="F143" s="313"/>
      <c r="G143" s="143"/>
      <c r="H143" s="142"/>
      <c r="I143" s="142"/>
      <c r="J143" s="142"/>
      <c r="K143" s="142"/>
      <c r="L143" s="144"/>
    </row>
    <row r="144" spans="1:17" s="69" customFormat="1" ht="27.6" customHeight="1" x14ac:dyDescent="0.3">
      <c r="A144" s="561">
        <v>5</v>
      </c>
      <c r="B144" s="145" t="s">
        <v>224</v>
      </c>
      <c r="C144" s="146" t="s">
        <v>33</v>
      </c>
      <c r="D144" s="146"/>
      <c r="E144" s="147">
        <f>E129</f>
        <v>10.199999999999999</v>
      </c>
      <c r="F144" s="650"/>
      <c r="G144" s="147"/>
      <c r="H144" s="147"/>
      <c r="I144" s="147"/>
      <c r="J144" s="147"/>
      <c r="K144" s="147"/>
      <c r="L144" s="148"/>
    </row>
    <row r="145" spans="1:14" s="69" customFormat="1" ht="13.95" customHeight="1" x14ac:dyDescent="0.3">
      <c r="A145" s="247"/>
      <c r="B145" s="24" t="s">
        <v>8</v>
      </c>
      <c r="C145" s="79" t="s">
        <v>33</v>
      </c>
      <c r="D145" s="79">
        <v>1</v>
      </c>
      <c r="E145" s="58"/>
      <c r="F145" s="297"/>
      <c r="G145" s="56"/>
      <c r="H145" s="58"/>
      <c r="I145" s="58"/>
      <c r="J145" s="58"/>
      <c r="K145" s="58"/>
      <c r="L145" s="57"/>
    </row>
    <row r="146" spans="1:14" s="69" customFormat="1" ht="13.95" customHeight="1" x14ac:dyDescent="0.3">
      <c r="A146" s="247"/>
      <c r="B146" s="24" t="s">
        <v>10</v>
      </c>
      <c r="C146" s="79" t="s">
        <v>15</v>
      </c>
      <c r="D146" s="79">
        <f>0.08</f>
        <v>0.08</v>
      </c>
      <c r="E146" s="58"/>
      <c r="F146" s="297"/>
      <c r="G146" s="56"/>
      <c r="H146" s="58"/>
      <c r="I146" s="58"/>
      <c r="J146" s="58"/>
      <c r="K146" s="58"/>
      <c r="L146" s="57"/>
    </row>
    <row r="147" spans="1:14" s="69" customFormat="1" ht="13.95" customHeight="1" x14ac:dyDescent="0.3">
      <c r="A147" s="247"/>
      <c r="B147" s="24" t="s">
        <v>12</v>
      </c>
      <c r="C147" s="79"/>
      <c r="D147" s="79"/>
      <c r="E147" s="58"/>
      <c r="F147" s="297"/>
      <c r="G147" s="56"/>
      <c r="H147" s="58"/>
      <c r="I147" s="58"/>
      <c r="J147" s="58"/>
      <c r="K147" s="58"/>
      <c r="L147" s="57"/>
    </row>
    <row r="148" spans="1:14" s="69" customFormat="1" ht="27.6" x14ac:dyDescent="0.3">
      <c r="A148" s="247"/>
      <c r="B148" s="24" t="s">
        <v>275</v>
      </c>
      <c r="C148" s="79" t="s">
        <v>33</v>
      </c>
      <c r="D148" s="79">
        <f>1.05</f>
        <v>1.05</v>
      </c>
      <c r="E148" s="58"/>
      <c r="F148" s="297"/>
      <c r="G148" s="56"/>
      <c r="H148" s="58"/>
      <c r="I148" s="58"/>
      <c r="J148" s="58"/>
      <c r="K148" s="58"/>
      <c r="L148" s="57"/>
      <c r="N148" s="69" t="s">
        <v>329</v>
      </c>
    </row>
    <row r="149" spans="1:14" s="69" customFormat="1" ht="13.95" customHeight="1" x14ac:dyDescent="0.3">
      <c r="A149" s="247"/>
      <c r="B149" s="24" t="s">
        <v>335</v>
      </c>
      <c r="C149" s="79" t="s">
        <v>13</v>
      </c>
      <c r="D149" s="79">
        <v>5</v>
      </c>
      <c r="E149" s="58"/>
      <c r="F149" s="297"/>
      <c r="G149" s="56"/>
      <c r="H149" s="58"/>
      <c r="I149" s="58"/>
      <c r="J149" s="58"/>
      <c r="K149" s="58"/>
      <c r="L149" s="57"/>
    </row>
    <row r="150" spans="1:14" s="69" customFormat="1" ht="13.95" customHeight="1" x14ac:dyDescent="0.3">
      <c r="A150" s="247"/>
      <c r="B150" s="24" t="s">
        <v>39</v>
      </c>
      <c r="C150" s="79" t="s">
        <v>13</v>
      </c>
      <c r="D150" s="79">
        <v>0.15</v>
      </c>
      <c r="E150" s="58"/>
      <c r="F150" s="297"/>
      <c r="G150" s="56"/>
      <c r="H150" s="58"/>
      <c r="I150" s="58"/>
      <c r="J150" s="58"/>
      <c r="K150" s="58"/>
      <c r="L150" s="57"/>
    </row>
    <row r="151" spans="1:14" s="69" customFormat="1" ht="13.95" customHeight="1" thickBot="1" x14ac:dyDescent="0.35">
      <c r="A151" s="279"/>
      <c r="B151" s="98" t="s">
        <v>14</v>
      </c>
      <c r="C151" s="141" t="s">
        <v>15</v>
      </c>
      <c r="D151" s="141">
        <f>0.19</f>
        <v>0.19</v>
      </c>
      <c r="E151" s="142"/>
      <c r="F151" s="313"/>
      <c r="G151" s="143"/>
      <c r="H151" s="142"/>
      <c r="I151" s="142"/>
      <c r="J151" s="142"/>
      <c r="K151" s="142"/>
      <c r="L151" s="144"/>
    </row>
    <row r="152" spans="1:14" s="69" customFormat="1" ht="18" customHeight="1" thickBot="1" x14ac:dyDescent="0.35">
      <c r="A152" s="564"/>
      <c r="B152" s="174" t="s">
        <v>225</v>
      </c>
      <c r="C152" s="154"/>
      <c r="D152" s="154"/>
      <c r="E152" s="155"/>
      <c r="F152" s="651"/>
      <c r="G152" s="156"/>
      <c r="H152" s="155"/>
      <c r="I152" s="155"/>
      <c r="J152" s="155"/>
      <c r="K152" s="155"/>
      <c r="L152" s="157"/>
    </row>
    <row r="153" spans="1:14" s="69" customFormat="1" ht="29.25" customHeight="1" x14ac:dyDescent="0.3">
      <c r="A153" s="97">
        <v>1</v>
      </c>
      <c r="B153" s="137" t="s">
        <v>270</v>
      </c>
      <c r="C153" s="134" t="s">
        <v>33</v>
      </c>
      <c r="D153" s="134"/>
      <c r="E153" s="138">
        <v>1728.7</v>
      </c>
      <c r="F153" s="312"/>
      <c r="G153" s="138"/>
      <c r="H153" s="138"/>
      <c r="I153" s="138"/>
      <c r="J153" s="138"/>
      <c r="K153" s="138"/>
      <c r="L153" s="139"/>
    </row>
    <row r="154" spans="1:14" s="69" customFormat="1" ht="13.8" x14ac:dyDescent="0.3">
      <c r="A154" s="247"/>
      <c r="B154" s="24" t="s">
        <v>8</v>
      </c>
      <c r="C154" s="79" t="s">
        <v>33</v>
      </c>
      <c r="D154" s="79">
        <v>1</v>
      </c>
      <c r="E154" s="58"/>
      <c r="F154" s="297"/>
      <c r="G154" s="58"/>
      <c r="H154" s="58"/>
      <c r="I154" s="58"/>
      <c r="J154" s="58"/>
      <c r="K154" s="58"/>
      <c r="L154" s="57"/>
    </row>
    <row r="155" spans="1:14" s="69" customFormat="1" ht="13.8" x14ac:dyDescent="0.3">
      <c r="A155" s="247"/>
      <c r="B155" s="24" t="s">
        <v>10</v>
      </c>
      <c r="C155" s="79" t="s">
        <v>15</v>
      </c>
      <c r="D155" s="79">
        <v>1.7000000000000001E-2</v>
      </c>
      <c r="E155" s="58"/>
      <c r="F155" s="297"/>
      <c r="G155" s="58"/>
      <c r="H155" s="58"/>
      <c r="I155" s="58"/>
      <c r="J155" s="58"/>
      <c r="K155" s="58"/>
      <c r="L155" s="57"/>
    </row>
    <row r="156" spans="1:14" s="69" customFormat="1" ht="13.8" x14ac:dyDescent="0.3">
      <c r="A156" s="247"/>
      <c r="B156" s="24" t="s">
        <v>12</v>
      </c>
      <c r="C156" s="79"/>
      <c r="D156" s="79"/>
      <c r="E156" s="58"/>
      <c r="F156" s="297"/>
      <c r="G156" s="58"/>
      <c r="H156" s="58"/>
      <c r="I156" s="58"/>
      <c r="J156" s="58"/>
      <c r="K156" s="58"/>
      <c r="L156" s="57"/>
    </row>
    <row r="157" spans="1:14" s="69" customFormat="1" ht="20.25" customHeight="1" x14ac:dyDescent="0.3">
      <c r="A157" s="247"/>
      <c r="B157" s="24" t="s">
        <v>282</v>
      </c>
      <c r="C157" s="79" t="s">
        <v>33</v>
      </c>
      <c r="D157" s="79">
        <v>1.05</v>
      </c>
      <c r="E157" s="58"/>
      <c r="F157" s="297"/>
      <c r="G157" s="56"/>
      <c r="H157" s="58"/>
      <c r="I157" s="58"/>
      <c r="J157" s="58"/>
      <c r="K157" s="58"/>
      <c r="L157" s="57"/>
    </row>
    <row r="158" spans="1:14" s="69" customFormat="1" thickBot="1" x14ac:dyDescent="0.35">
      <c r="A158" s="279"/>
      <c r="B158" s="98" t="s">
        <v>14</v>
      </c>
      <c r="C158" s="141" t="s">
        <v>15</v>
      </c>
      <c r="D158" s="141">
        <v>0.22</v>
      </c>
      <c r="E158" s="142"/>
      <c r="F158" s="313"/>
      <c r="G158" s="143"/>
      <c r="H158" s="142"/>
      <c r="I158" s="142"/>
      <c r="J158" s="142"/>
      <c r="K158" s="142"/>
      <c r="L158" s="144"/>
    </row>
    <row r="159" spans="1:14" s="158" customFormat="1" ht="27.75" customHeight="1" x14ac:dyDescent="0.3">
      <c r="A159" s="555">
        <v>2</v>
      </c>
      <c r="B159" s="137" t="s">
        <v>73</v>
      </c>
      <c r="C159" s="134" t="s">
        <v>33</v>
      </c>
      <c r="D159" s="161"/>
      <c r="E159" s="162">
        <f>E153</f>
        <v>1728.7</v>
      </c>
      <c r="F159" s="163"/>
      <c r="G159" s="163"/>
      <c r="H159" s="163"/>
      <c r="I159" s="163"/>
      <c r="J159" s="163"/>
      <c r="K159" s="163"/>
      <c r="L159" s="164"/>
    </row>
    <row r="160" spans="1:14" s="158" customFormat="1" ht="13.8" x14ac:dyDescent="0.3">
      <c r="A160" s="247"/>
      <c r="B160" s="24" t="s">
        <v>8</v>
      </c>
      <c r="C160" s="79" t="s">
        <v>33</v>
      </c>
      <c r="D160" s="159">
        <v>1</v>
      </c>
      <c r="E160" s="159"/>
      <c r="F160" s="166"/>
      <c r="G160" s="165"/>
      <c r="H160" s="165"/>
      <c r="I160" s="165"/>
      <c r="J160" s="165"/>
      <c r="K160" s="165"/>
      <c r="L160" s="160"/>
    </row>
    <row r="161" spans="1:17" s="158" customFormat="1" ht="13.8" x14ac:dyDescent="0.3">
      <c r="A161" s="247"/>
      <c r="B161" s="24" t="s">
        <v>10</v>
      </c>
      <c r="C161" s="79" t="s">
        <v>15</v>
      </c>
      <c r="D161" s="159">
        <v>1.7000000000000001E-2</v>
      </c>
      <c r="E161" s="159"/>
      <c r="F161" s="166"/>
      <c r="G161" s="165"/>
      <c r="H161" s="165"/>
      <c r="I161" s="165"/>
      <c r="J161" s="58"/>
      <c r="K161" s="165"/>
      <c r="L161" s="160"/>
    </row>
    <row r="162" spans="1:17" s="158" customFormat="1" ht="13.8" x14ac:dyDescent="0.3">
      <c r="A162" s="247"/>
      <c r="B162" s="24" t="s">
        <v>12</v>
      </c>
      <c r="C162" s="79"/>
      <c r="D162" s="159"/>
      <c r="E162" s="159"/>
      <c r="F162" s="166"/>
      <c r="G162" s="165"/>
      <c r="H162" s="165"/>
      <c r="I162" s="165"/>
      <c r="J162" s="165"/>
      <c r="K162" s="165"/>
      <c r="L162" s="160"/>
    </row>
    <row r="163" spans="1:17" s="158" customFormat="1" ht="27.6" x14ac:dyDescent="0.3">
      <c r="A163" s="247"/>
      <c r="B163" s="24" t="s">
        <v>226</v>
      </c>
      <c r="C163" s="79" t="s">
        <v>33</v>
      </c>
      <c r="D163" s="159">
        <v>1.1100000000000001</v>
      </c>
      <c r="E163" s="159"/>
      <c r="F163" s="166"/>
      <c r="G163" s="166"/>
      <c r="H163" s="165"/>
      <c r="I163" s="165"/>
      <c r="J163" s="165"/>
      <c r="K163" s="165"/>
      <c r="L163" s="160"/>
    </row>
    <row r="164" spans="1:17" s="158" customFormat="1" thickBot="1" x14ac:dyDescent="0.35">
      <c r="A164" s="247"/>
      <c r="B164" s="24" t="s">
        <v>14</v>
      </c>
      <c r="C164" s="79" t="s">
        <v>15</v>
      </c>
      <c r="D164" s="159">
        <v>0.22</v>
      </c>
      <c r="E164" s="159"/>
      <c r="F164" s="313"/>
      <c r="G164" s="166"/>
      <c r="H164" s="165"/>
      <c r="I164" s="165"/>
      <c r="J164" s="165"/>
      <c r="K164" s="165"/>
      <c r="L164" s="160"/>
    </row>
    <row r="165" spans="1:17" s="158" customFormat="1" ht="42" customHeight="1" x14ac:dyDescent="0.3">
      <c r="A165" s="562">
        <v>3</v>
      </c>
      <c r="B165" s="137" t="s">
        <v>285</v>
      </c>
      <c r="C165" s="206" t="s">
        <v>33</v>
      </c>
      <c r="D165" s="206"/>
      <c r="E165" s="138">
        <f>E153</f>
        <v>1728.7</v>
      </c>
      <c r="F165" s="312"/>
      <c r="G165" s="138"/>
      <c r="H165" s="138"/>
      <c r="I165" s="138"/>
      <c r="J165" s="138"/>
      <c r="K165" s="138"/>
      <c r="L165" s="139"/>
    </row>
    <row r="166" spans="1:17" s="158" customFormat="1" ht="13.8" x14ac:dyDescent="0.3">
      <c r="A166" s="172"/>
      <c r="B166" s="55" t="s">
        <v>8</v>
      </c>
      <c r="C166" s="179" t="s">
        <v>33</v>
      </c>
      <c r="D166" s="79">
        <v>1</v>
      </c>
      <c r="E166" s="56"/>
      <c r="F166" s="297"/>
      <c r="G166" s="56"/>
      <c r="H166" s="56"/>
      <c r="I166" s="56"/>
      <c r="J166" s="56"/>
      <c r="K166" s="56"/>
      <c r="L166" s="57"/>
    </row>
    <row r="167" spans="1:17" s="158" customFormat="1" ht="13.8" x14ac:dyDescent="0.3">
      <c r="A167" s="172"/>
      <c r="B167" s="55" t="s">
        <v>10</v>
      </c>
      <c r="C167" s="179" t="s">
        <v>15</v>
      </c>
      <c r="D167" s="79">
        <v>1</v>
      </c>
      <c r="E167" s="56"/>
      <c r="F167" s="297"/>
      <c r="G167" s="56"/>
      <c r="H167" s="56"/>
      <c r="I167" s="56"/>
      <c r="J167" s="58"/>
      <c r="K167" s="56"/>
      <c r="L167" s="57"/>
    </row>
    <row r="168" spans="1:17" s="158" customFormat="1" ht="13.8" x14ac:dyDescent="0.3">
      <c r="A168" s="172"/>
      <c r="B168" s="55" t="s">
        <v>12</v>
      </c>
      <c r="C168" s="179"/>
      <c r="D168" s="79"/>
      <c r="E168" s="56"/>
      <c r="F168" s="297"/>
      <c r="G168" s="56"/>
      <c r="H168" s="56"/>
      <c r="I168" s="56"/>
      <c r="J168" s="56"/>
      <c r="K168" s="56"/>
      <c r="L168" s="57"/>
    </row>
    <row r="169" spans="1:17" s="184" customFormat="1" x14ac:dyDescent="0.3">
      <c r="A169" s="120"/>
      <c r="B169" s="24" t="s">
        <v>269</v>
      </c>
      <c r="C169" s="121" t="s">
        <v>27</v>
      </c>
      <c r="D169" s="79">
        <f>(2.04+0.51*6)/100</f>
        <v>5.0999999999999997E-2</v>
      </c>
      <c r="E169" s="122"/>
      <c r="F169" s="649"/>
      <c r="G169" s="166"/>
      <c r="H169" s="165"/>
      <c r="I169" s="165"/>
      <c r="J169" s="165"/>
      <c r="K169" s="165"/>
      <c r="L169" s="160"/>
      <c r="M169"/>
      <c r="N169"/>
      <c r="O169"/>
      <c r="P169"/>
      <c r="Q169"/>
    </row>
    <row r="170" spans="1:17" s="184" customFormat="1" x14ac:dyDescent="0.3">
      <c r="A170" s="272"/>
      <c r="B170" s="24" t="s">
        <v>122</v>
      </c>
      <c r="C170" s="273" t="s">
        <v>27</v>
      </c>
      <c r="D170" s="218">
        <f>0.051*1.23</f>
        <v>6.2729999999999994E-2</v>
      </c>
      <c r="E170" s="274"/>
      <c r="F170" s="649"/>
      <c r="G170" s="166"/>
      <c r="H170" s="201"/>
      <c r="I170" s="201"/>
      <c r="J170" s="201"/>
      <c r="K170" s="201"/>
      <c r="L170" s="160"/>
      <c r="M170"/>
      <c r="N170"/>
      <c r="O170"/>
      <c r="P170"/>
      <c r="Q170"/>
    </row>
    <row r="171" spans="1:17" s="184" customFormat="1" x14ac:dyDescent="0.3">
      <c r="A171" s="272"/>
      <c r="B171" s="24" t="s">
        <v>138</v>
      </c>
      <c r="C171" s="273" t="s">
        <v>228</v>
      </c>
      <c r="D171" s="218">
        <f>0.051*0.306</f>
        <v>1.5605999999999998E-2</v>
      </c>
      <c r="E171" s="274"/>
      <c r="F171" s="649"/>
      <c r="G171" s="166"/>
      <c r="H171" s="201"/>
      <c r="I171" s="201"/>
      <c r="J171" s="201"/>
      <c r="K171" s="201"/>
      <c r="L171" s="160"/>
      <c r="M171"/>
      <c r="N171"/>
      <c r="O171"/>
      <c r="P171"/>
      <c r="Q171"/>
    </row>
    <row r="172" spans="1:17" s="69" customFormat="1" ht="13.8" x14ac:dyDescent="0.3">
      <c r="A172" s="247"/>
      <c r="B172" s="24" t="s">
        <v>470</v>
      </c>
      <c r="C172" s="79" t="s">
        <v>33</v>
      </c>
      <c r="D172" s="79">
        <v>1.03</v>
      </c>
      <c r="E172" s="58"/>
      <c r="F172" s="297"/>
      <c r="G172" s="56"/>
      <c r="H172" s="58"/>
      <c r="I172" s="58"/>
      <c r="J172" s="58"/>
      <c r="K172" s="58"/>
      <c r="L172" s="57"/>
    </row>
    <row r="173" spans="1:17" s="208" customFormat="1" thickBot="1" x14ac:dyDescent="0.35">
      <c r="A173" s="563"/>
      <c r="B173" s="193" t="s">
        <v>14</v>
      </c>
      <c r="C173" s="207" t="s">
        <v>15</v>
      </c>
      <c r="D173" s="207">
        <v>0.11</v>
      </c>
      <c r="E173" s="143"/>
      <c r="F173" s="313"/>
      <c r="G173" s="143"/>
      <c r="H173" s="143"/>
      <c r="I173" s="143"/>
      <c r="J173" s="143"/>
      <c r="K173" s="143"/>
      <c r="L173" s="144"/>
    </row>
    <row r="174" spans="1:17" s="158" customFormat="1" ht="27.75" customHeight="1" x14ac:dyDescent="0.3">
      <c r="A174" s="555">
        <v>4</v>
      </c>
      <c r="B174" s="137" t="s">
        <v>284</v>
      </c>
      <c r="C174" s="134" t="s">
        <v>33</v>
      </c>
      <c r="D174" s="161"/>
      <c r="E174" s="162">
        <f>E165</f>
        <v>1728.7</v>
      </c>
      <c r="F174" s="163"/>
      <c r="G174" s="163"/>
      <c r="H174" s="163"/>
      <c r="I174" s="163"/>
      <c r="J174" s="163"/>
      <c r="K174" s="163"/>
      <c r="L174" s="164"/>
    </row>
    <row r="175" spans="1:17" s="158" customFormat="1" ht="13.8" x14ac:dyDescent="0.3">
      <c r="A175" s="247"/>
      <c r="B175" s="24" t="s">
        <v>8</v>
      </c>
      <c r="C175" s="79" t="s">
        <v>33</v>
      </c>
      <c r="D175" s="159">
        <v>1</v>
      </c>
      <c r="E175" s="159"/>
      <c r="F175" s="166"/>
      <c r="G175" s="165"/>
      <c r="H175" s="165"/>
      <c r="I175" s="165"/>
      <c r="J175" s="165"/>
      <c r="K175" s="165"/>
      <c r="L175" s="160"/>
    </row>
    <row r="176" spans="1:17" s="158" customFormat="1" ht="13.8" x14ac:dyDescent="0.3">
      <c r="A176" s="247"/>
      <c r="B176" s="24" t="s">
        <v>10</v>
      </c>
      <c r="C176" s="79" t="s">
        <v>15</v>
      </c>
      <c r="D176" s="159">
        <v>1.7000000000000001E-2</v>
      </c>
      <c r="E176" s="159"/>
      <c r="F176" s="166"/>
      <c r="G176" s="165"/>
      <c r="H176" s="165"/>
      <c r="I176" s="165"/>
      <c r="J176" s="58"/>
      <c r="K176" s="165"/>
      <c r="L176" s="160"/>
    </row>
    <row r="177" spans="1:12" s="158" customFormat="1" ht="13.8" x14ac:dyDescent="0.3">
      <c r="A177" s="247"/>
      <c r="B177" s="24" t="s">
        <v>12</v>
      </c>
      <c r="C177" s="79"/>
      <c r="D177" s="159"/>
      <c r="E177" s="159"/>
      <c r="F177" s="166"/>
      <c r="G177" s="165"/>
      <c r="H177" s="165"/>
      <c r="I177" s="165"/>
      <c r="J177" s="165"/>
      <c r="K177" s="165"/>
      <c r="L177" s="160"/>
    </row>
    <row r="178" spans="1:12" s="158" customFormat="1" ht="13.8" x14ac:dyDescent="0.3">
      <c r="A178" s="247"/>
      <c r="B178" s="24" t="s">
        <v>283</v>
      </c>
      <c r="C178" s="79" t="s">
        <v>33</v>
      </c>
      <c r="D178" s="159">
        <v>2.0499999999999998</v>
      </c>
      <c r="E178" s="159"/>
      <c r="F178" s="166"/>
      <c r="G178" s="166"/>
      <c r="H178" s="165"/>
      <c r="I178" s="165"/>
      <c r="J178" s="165"/>
      <c r="K178" s="165"/>
      <c r="L178" s="160"/>
    </row>
    <row r="179" spans="1:12" s="158" customFormat="1" thickBot="1" x14ac:dyDescent="0.35">
      <c r="A179" s="401"/>
      <c r="B179" s="24" t="s">
        <v>14</v>
      </c>
      <c r="C179" s="141" t="s">
        <v>15</v>
      </c>
      <c r="D179" s="168">
        <v>0.06</v>
      </c>
      <c r="E179" s="168"/>
      <c r="F179" s="313"/>
      <c r="G179" s="169"/>
      <c r="H179" s="170"/>
      <c r="I179" s="170"/>
      <c r="J179" s="170"/>
      <c r="K179" s="170"/>
      <c r="L179" s="171"/>
    </row>
    <row r="180" spans="1:12" s="251" customFormat="1" ht="18" customHeight="1" thickBot="1" x14ac:dyDescent="0.3">
      <c r="A180" s="565">
        <v>5</v>
      </c>
      <c r="B180" s="252" t="s">
        <v>286</v>
      </c>
      <c r="C180" s="253" t="s">
        <v>229</v>
      </c>
      <c r="D180" s="253"/>
      <c r="E180" s="176">
        <f>E153</f>
        <v>1728.7</v>
      </c>
      <c r="F180" s="626"/>
      <c r="G180" s="175">
        <f>F180*E180</f>
        <v>0</v>
      </c>
      <c r="H180" s="176"/>
      <c r="I180" s="175">
        <f>H180*E180</f>
        <v>0</v>
      </c>
      <c r="J180" s="176"/>
      <c r="K180" s="175">
        <f>J180*E180</f>
        <v>0</v>
      </c>
      <c r="L180" s="254">
        <f t="shared" ref="L180" si="0">K180+I180+G180</f>
        <v>0</v>
      </c>
    </row>
    <row r="181" spans="1:12" s="69" customFormat="1" ht="14.4" customHeight="1" thickBot="1" x14ac:dyDescent="0.35">
      <c r="A181" s="566"/>
      <c r="B181" s="131" t="s">
        <v>287</v>
      </c>
      <c r="C181" s="131"/>
      <c r="D181" s="131"/>
      <c r="E181" s="132"/>
      <c r="F181" s="132"/>
      <c r="G181" s="132"/>
      <c r="H181" s="132"/>
      <c r="I181" s="132"/>
      <c r="J181" s="132"/>
      <c r="K181" s="132"/>
      <c r="L181" s="133"/>
    </row>
    <row r="182" spans="1:12" s="69" customFormat="1" ht="29.25" customHeight="1" x14ac:dyDescent="0.3">
      <c r="A182" s="97">
        <v>1</v>
      </c>
      <c r="B182" s="137" t="s">
        <v>270</v>
      </c>
      <c r="C182" s="134" t="s">
        <v>33</v>
      </c>
      <c r="D182" s="134"/>
      <c r="E182" s="138">
        <v>281.60000000000002</v>
      </c>
      <c r="F182" s="312"/>
      <c r="G182" s="138"/>
      <c r="H182" s="138"/>
      <c r="I182" s="138"/>
      <c r="J182" s="138"/>
      <c r="K182" s="138"/>
      <c r="L182" s="139"/>
    </row>
    <row r="183" spans="1:12" s="69" customFormat="1" ht="13.8" x14ac:dyDescent="0.3">
      <c r="A183" s="247"/>
      <c r="B183" s="24" t="s">
        <v>8</v>
      </c>
      <c r="C183" s="79" t="s">
        <v>33</v>
      </c>
      <c r="D183" s="79">
        <v>1</v>
      </c>
      <c r="E183" s="58"/>
      <c r="F183" s="297"/>
      <c r="G183" s="58"/>
      <c r="H183" s="58"/>
      <c r="I183" s="58"/>
      <c r="J183" s="58"/>
      <c r="K183" s="58"/>
      <c r="L183" s="57"/>
    </row>
    <row r="184" spans="1:12" s="69" customFormat="1" ht="13.8" x14ac:dyDescent="0.3">
      <c r="A184" s="247"/>
      <c r="B184" s="24" t="s">
        <v>10</v>
      </c>
      <c r="C184" s="79" t="s">
        <v>15</v>
      </c>
      <c r="D184" s="79">
        <v>1.7000000000000001E-2</v>
      </c>
      <c r="E184" s="58"/>
      <c r="F184" s="297"/>
      <c r="G184" s="58"/>
      <c r="H184" s="58"/>
      <c r="I184" s="58"/>
      <c r="J184" s="58"/>
      <c r="K184" s="58"/>
      <c r="L184" s="57"/>
    </row>
    <row r="185" spans="1:12" s="69" customFormat="1" ht="13.8" x14ac:dyDescent="0.3">
      <c r="A185" s="247"/>
      <c r="B185" s="24" t="s">
        <v>12</v>
      </c>
      <c r="C185" s="79"/>
      <c r="D185" s="79"/>
      <c r="E185" s="58"/>
      <c r="F185" s="297"/>
      <c r="G185" s="58"/>
      <c r="H185" s="58"/>
      <c r="I185" s="58"/>
      <c r="J185" s="58"/>
      <c r="K185" s="58"/>
      <c r="L185" s="57"/>
    </row>
    <row r="186" spans="1:12" s="69" customFormat="1" ht="28.8" x14ac:dyDescent="0.3">
      <c r="A186" s="247"/>
      <c r="B186" s="24" t="s">
        <v>282</v>
      </c>
      <c r="C186" s="79" t="s">
        <v>33</v>
      </c>
      <c r="D186" s="79">
        <v>1.05</v>
      </c>
      <c r="E186" s="58"/>
      <c r="F186" s="297"/>
      <c r="G186" s="56"/>
      <c r="H186" s="58"/>
      <c r="I186" s="58"/>
      <c r="J186" s="58"/>
      <c r="K186" s="58"/>
      <c r="L186" s="57"/>
    </row>
    <row r="187" spans="1:12" s="69" customFormat="1" thickBot="1" x14ac:dyDescent="0.35">
      <c r="A187" s="279"/>
      <c r="B187" s="98" t="s">
        <v>14</v>
      </c>
      <c r="C187" s="141" t="s">
        <v>15</v>
      </c>
      <c r="D187" s="141">
        <v>0.22</v>
      </c>
      <c r="E187" s="142"/>
      <c r="F187" s="313"/>
      <c r="G187" s="143"/>
      <c r="H187" s="142"/>
      <c r="I187" s="142"/>
      <c r="J187" s="142"/>
      <c r="K187" s="142"/>
      <c r="L187" s="144"/>
    </row>
    <row r="188" spans="1:12" s="158" customFormat="1" ht="27.75" customHeight="1" x14ac:dyDescent="0.3">
      <c r="A188" s="555">
        <v>2</v>
      </c>
      <c r="B188" s="137" t="s">
        <v>73</v>
      </c>
      <c r="C188" s="134" t="s">
        <v>33</v>
      </c>
      <c r="D188" s="161"/>
      <c r="E188" s="162">
        <f>E182</f>
        <v>281.60000000000002</v>
      </c>
      <c r="F188" s="163"/>
      <c r="G188" s="163"/>
      <c r="H188" s="163"/>
      <c r="I188" s="163"/>
      <c r="J188" s="163"/>
      <c r="K188" s="163"/>
      <c r="L188" s="164"/>
    </row>
    <row r="189" spans="1:12" s="158" customFormat="1" ht="13.8" x14ac:dyDescent="0.3">
      <c r="A189" s="247"/>
      <c r="B189" s="24" t="s">
        <v>8</v>
      </c>
      <c r="C189" s="79" t="s">
        <v>33</v>
      </c>
      <c r="D189" s="159">
        <v>1</v>
      </c>
      <c r="E189" s="159"/>
      <c r="F189" s="166"/>
      <c r="G189" s="165"/>
      <c r="H189" s="165"/>
      <c r="I189" s="165"/>
      <c r="J189" s="165"/>
      <c r="K189" s="165"/>
      <c r="L189" s="160"/>
    </row>
    <row r="190" spans="1:12" s="158" customFormat="1" ht="13.8" x14ac:dyDescent="0.3">
      <c r="A190" s="247"/>
      <c r="B190" s="24" t="s">
        <v>10</v>
      </c>
      <c r="C190" s="79" t="s">
        <v>15</v>
      </c>
      <c r="D190" s="159">
        <v>1.7000000000000001E-2</v>
      </c>
      <c r="E190" s="159"/>
      <c r="F190" s="166"/>
      <c r="G190" s="165"/>
      <c r="H190" s="165"/>
      <c r="I190" s="165"/>
      <c r="J190" s="58"/>
      <c r="K190" s="165"/>
      <c r="L190" s="160"/>
    </row>
    <row r="191" spans="1:12" s="158" customFormat="1" ht="13.8" x14ac:dyDescent="0.3">
      <c r="A191" s="247"/>
      <c r="B191" s="24" t="s">
        <v>12</v>
      </c>
      <c r="C191" s="79"/>
      <c r="D191" s="159"/>
      <c r="E191" s="159"/>
      <c r="F191" s="166"/>
      <c r="G191" s="165"/>
      <c r="H191" s="165"/>
      <c r="I191" s="165"/>
      <c r="J191" s="165"/>
      <c r="K191" s="165"/>
      <c r="L191" s="160"/>
    </row>
    <row r="192" spans="1:12" s="158" customFormat="1" ht="27.6" x14ac:dyDescent="0.3">
      <c r="A192" s="247"/>
      <c r="B192" s="24" t="s">
        <v>226</v>
      </c>
      <c r="C192" s="79" t="s">
        <v>33</v>
      </c>
      <c r="D192" s="159">
        <v>1.1100000000000001</v>
      </c>
      <c r="E192" s="159"/>
      <c r="F192" s="166"/>
      <c r="G192" s="166"/>
      <c r="H192" s="165"/>
      <c r="I192" s="165"/>
      <c r="J192" s="165"/>
      <c r="K192" s="165"/>
      <c r="L192" s="160"/>
    </row>
    <row r="193" spans="1:15" s="158" customFormat="1" thickBot="1" x14ac:dyDescent="0.35">
      <c r="A193" s="560"/>
      <c r="B193" s="150" t="s">
        <v>14</v>
      </c>
      <c r="C193" s="151" t="s">
        <v>15</v>
      </c>
      <c r="D193" s="199">
        <v>0.22</v>
      </c>
      <c r="E193" s="199"/>
      <c r="F193" s="652"/>
      <c r="G193" s="200"/>
      <c r="H193" s="201"/>
      <c r="I193" s="201"/>
      <c r="J193" s="201"/>
      <c r="K193" s="201"/>
      <c r="L193" s="202"/>
    </row>
    <row r="194" spans="1:15" s="69" customFormat="1" ht="21.75" customHeight="1" thickBot="1" x14ac:dyDescent="0.35">
      <c r="A194" s="567"/>
      <c r="B194" s="276" t="s">
        <v>232</v>
      </c>
      <c r="C194" s="276"/>
      <c r="D194" s="276"/>
      <c r="E194" s="277"/>
      <c r="F194" s="277"/>
      <c r="G194" s="277"/>
      <c r="H194" s="277"/>
      <c r="I194" s="277"/>
      <c r="J194" s="277"/>
      <c r="K194" s="277"/>
      <c r="L194" s="278"/>
    </row>
    <row r="195" spans="1:15" s="69" customFormat="1" ht="27.75" customHeight="1" x14ac:dyDescent="0.3">
      <c r="A195" s="97">
        <v>1</v>
      </c>
      <c r="B195" s="137" t="s">
        <v>502</v>
      </c>
      <c r="C195" s="134" t="s">
        <v>33</v>
      </c>
      <c r="D195" s="134"/>
      <c r="E195" s="138">
        <v>90.2</v>
      </c>
      <c r="F195" s="312"/>
      <c r="G195" s="138"/>
      <c r="H195" s="138"/>
      <c r="I195" s="138"/>
      <c r="J195" s="138"/>
      <c r="K195" s="138"/>
      <c r="L195" s="139"/>
    </row>
    <row r="196" spans="1:15" s="69" customFormat="1" ht="13.95" customHeight="1" x14ac:dyDescent="0.3">
      <c r="A196" s="247"/>
      <c r="B196" s="24" t="s">
        <v>8</v>
      </c>
      <c r="C196" s="79" t="s">
        <v>33</v>
      </c>
      <c r="D196" s="79">
        <v>1</v>
      </c>
      <c r="E196" s="58"/>
      <c r="F196" s="297"/>
      <c r="G196" s="58"/>
      <c r="H196" s="58"/>
      <c r="I196" s="58"/>
      <c r="J196" s="58"/>
      <c r="K196" s="58"/>
      <c r="L196" s="57"/>
    </row>
    <row r="197" spans="1:15" s="69" customFormat="1" ht="13.95" customHeight="1" x14ac:dyDescent="0.3">
      <c r="A197" s="247"/>
      <c r="B197" s="24" t="s">
        <v>12</v>
      </c>
      <c r="C197" s="79"/>
      <c r="D197" s="79"/>
      <c r="E197" s="58"/>
      <c r="F197" s="297"/>
      <c r="G197" s="58"/>
      <c r="H197" s="58"/>
      <c r="I197" s="58"/>
      <c r="J197" s="58"/>
      <c r="K197" s="58"/>
      <c r="L197" s="57"/>
    </row>
    <row r="198" spans="1:15" s="69" customFormat="1" ht="13.95" customHeight="1" x14ac:dyDescent="0.3">
      <c r="A198" s="560"/>
      <c r="B198" s="150" t="s">
        <v>122</v>
      </c>
      <c r="C198" s="151" t="s">
        <v>27</v>
      </c>
      <c r="D198" s="151">
        <f>0.233*1.02</f>
        <v>0.23766000000000001</v>
      </c>
      <c r="E198" s="152"/>
      <c r="F198" s="652"/>
      <c r="G198" s="167"/>
      <c r="H198" s="152"/>
      <c r="I198" s="152"/>
      <c r="J198" s="152"/>
      <c r="K198" s="152"/>
      <c r="L198" s="153"/>
    </row>
    <row r="199" spans="1:15" s="158" customFormat="1" ht="18" thickBot="1" x14ac:dyDescent="0.35">
      <c r="A199" s="279"/>
      <c r="B199" s="280" t="s">
        <v>231</v>
      </c>
      <c r="C199" s="250" t="s">
        <v>236</v>
      </c>
      <c r="D199" s="141">
        <v>1.05</v>
      </c>
      <c r="E199" s="142"/>
      <c r="F199" s="313"/>
      <c r="G199" s="142"/>
      <c r="H199" s="142"/>
      <c r="I199" s="142"/>
      <c r="J199" s="142"/>
      <c r="K199" s="142"/>
      <c r="L199" s="144"/>
    </row>
    <row r="200" spans="1:15" s="158" customFormat="1" ht="19.5" customHeight="1" x14ac:dyDescent="0.3">
      <c r="A200" s="555">
        <v>2</v>
      </c>
      <c r="B200" s="137" t="s">
        <v>73</v>
      </c>
      <c r="C200" s="134" t="s">
        <v>33</v>
      </c>
      <c r="D200" s="161"/>
      <c r="E200" s="162">
        <f>E195</f>
        <v>90.2</v>
      </c>
      <c r="F200" s="163"/>
      <c r="G200" s="163"/>
      <c r="H200" s="163"/>
      <c r="I200" s="163"/>
      <c r="J200" s="163"/>
      <c r="K200" s="163"/>
      <c r="L200" s="164"/>
    </row>
    <row r="201" spans="1:15" s="158" customFormat="1" ht="13.8" x14ac:dyDescent="0.3">
      <c r="A201" s="247"/>
      <c r="B201" s="24" t="s">
        <v>8</v>
      </c>
      <c r="C201" s="79" t="s">
        <v>33</v>
      </c>
      <c r="D201" s="159">
        <v>1</v>
      </c>
      <c r="E201" s="159"/>
      <c r="F201" s="166"/>
      <c r="G201" s="165"/>
      <c r="H201" s="165"/>
      <c r="I201" s="165"/>
      <c r="J201" s="165"/>
      <c r="K201" s="165"/>
      <c r="L201" s="160"/>
    </row>
    <row r="202" spans="1:15" s="158" customFormat="1" ht="13.8" x14ac:dyDescent="0.3">
      <c r="A202" s="247"/>
      <c r="B202" s="24" t="s">
        <v>10</v>
      </c>
      <c r="C202" s="79" t="s">
        <v>15</v>
      </c>
      <c r="D202" s="159">
        <v>1.7000000000000001E-2</v>
      </c>
      <c r="E202" s="159"/>
      <c r="F202" s="166"/>
      <c r="G202" s="165"/>
      <c r="H202" s="165"/>
      <c r="I202" s="165"/>
      <c r="J202" s="58"/>
      <c r="K202" s="165"/>
      <c r="L202" s="160"/>
    </row>
    <row r="203" spans="1:15" s="158" customFormat="1" ht="13.8" x14ac:dyDescent="0.3">
      <c r="A203" s="247"/>
      <c r="B203" s="24" t="s">
        <v>12</v>
      </c>
      <c r="C203" s="79"/>
      <c r="D203" s="159"/>
      <c r="E203" s="159"/>
      <c r="F203" s="166"/>
      <c r="G203" s="165"/>
      <c r="H203" s="165"/>
      <c r="I203" s="165"/>
      <c r="J203" s="165"/>
      <c r="K203" s="165"/>
      <c r="L203" s="160"/>
    </row>
    <row r="204" spans="1:15" s="158" customFormat="1" ht="27.6" x14ac:dyDescent="0.3">
      <c r="A204" s="247"/>
      <c r="B204" s="24" t="s">
        <v>226</v>
      </c>
      <c r="C204" s="79" t="s">
        <v>33</v>
      </c>
      <c r="D204" s="159">
        <v>1.1100000000000001</v>
      </c>
      <c r="E204" s="159"/>
      <c r="F204" s="166"/>
      <c r="G204" s="166"/>
      <c r="H204" s="165"/>
      <c r="I204" s="165"/>
      <c r="J204" s="165"/>
      <c r="K204" s="165"/>
      <c r="L204" s="160"/>
    </row>
    <row r="205" spans="1:15" s="158" customFormat="1" thickBot="1" x14ac:dyDescent="0.35">
      <c r="A205" s="560"/>
      <c r="B205" s="150" t="s">
        <v>14</v>
      </c>
      <c r="C205" s="151" t="s">
        <v>15</v>
      </c>
      <c r="D205" s="199">
        <v>0.22</v>
      </c>
      <c r="E205" s="199"/>
      <c r="F205" s="652"/>
      <c r="G205" s="200"/>
      <c r="H205" s="201"/>
      <c r="I205" s="201"/>
      <c r="J205" s="201"/>
      <c r="K205" s="201"/>
      <c r="L205" s="202"/>
    </row>
    <row r="206" spans="1:15" s="69" customFormat="1" ht="29.25" customHeight="1" x14ac:dyDescent="0.3">
      <c r="A206" s="97">
        <v>3</v>
      </c>
      <c r="B206" s="137" t="s">
        <v>240</v>
      </c>
      <c r="C206" s="134" t="s">
        <v>33</v>
      </c>
      <c r="D206" s="134"/>
      <c r="E206" s="138">
        <f>E195</f>
        <v>90.2</v>
      </c>
      <c r="F206" s="312"/>
      <c r="G206" s="138"/>
      <c r="H206" s="138"/>
      <c r="I206" s="138"/>
      <c r="J206" s="138"/>
      <c r="K206" s="138"/>
      <c r="L206" s="139"/>
    </row>
    <row r="207" spans="1:15" s="69" customFormat="1" ht="13.95" customHeight="1" x14ac:dyDescent="0.3">
      <c r="A207" s="247"/>
      <c r="B207" s="24" t="s">
        <v>8</v>
      </c>
      <c r="C207" s="79" t="s">
        <v>33</v>
      </c>
      <c r="D207" s="79">
        <v>1</v>
      </c>
      <c r="E207" s="58"/>
      <c r="F207" s="297"/>
      <c r="G207" s="58"/>
      <c r="H207" s="58"/>
      <c r="I207" s="58"/>
      <c r="J207" s="58"/>
      <c r="K207" s="58"/>
      <c r="L207" s="57"/>
      <c r="N207" s="118"/>
    </row>
    <row r="208" spans="1:15" s="69" customFormat="1" ht="13.95" customHeight="1" x14ac:dyDescent="0.3">
      <c r="A208" s="247"/>
      <c r="B208" s="24" t="s">
        <v>10</v>
      </c>
      <c r="C208" s="79" t="s">
        <v>15</v>
      </c>
      <c r="D208" s="281">
        <v>1</v>
      </c>
      <c r="E208" s="58"/>
      <c r="F208" s="297"/>
      <c r="G208" s="58"/>
      <c r="H208" s="58"/>
      <c r="I208" s="58"/>
      <c r="J208" s="58"/>
      <c r="K208" s="58"/>
      <c r="L208" s="57"/>
      <c r="O208" s="118"/>
    </row>
    <row r="209" spans="1:17" s="69" customFormat="1" ht="13.95" customHeight="1" x14ac:dyDescent="0.3">
      <c r="A209" s="247"/>
      <c r="B209" s="24" t="s">
        <v>12</v>
      </c>
      <c r="C209" s="79"/>
      <c r="D209" s="79"/>
      <c r="E209" s="58"/>
      <c r="F209" s="297"/>
      <c r="G209" s="58"/>
      <c r="H209" s="58"/>
      <c r="I209" s="58"/>
      <c r="J209" s="58"/>
      <c r="K209" s="58"/>
      <c r="L209" s="57"/>
    </row>
    <row r="210" spans="1:17" s="184" customFormat="1" ht="18" customHeight="1" x14ac:dyDescent="0.3">
      <c r="A210" s="120"/>
      <c r="B210" s="24" t="s">
        <v>269</v>
      </c>
      <c r="C210" s="121" t="s">
        <v>27</v>
      </c>
      <c r="D210" s="79">
        <f>(2.04+0.51*10)/100</f>
        <v>7.1399999999999991E-2</v>
      </c>
      <c r="E210" s="122"/>
      <c r="F210" s="649"/>
      <c r="G210" s="166"/>
      <c r="H210" s="165"/>
      <c r="I210" s="165"/>
      <c r="J210" s="165"/>
      <c r="K210" s="165"/>
      <c r="L210" s="160"/>
      <c r="M210"/>
      <c r="N210"/>
      <c r="O210"/>
      <c r="P210"/>
      <c r="Q210"/>
    </row>
    <row r="211" spans="1:17" s="184" customFormat="1" ht="18" customHeight="1" x14ac:dyDescent="0.3">
      <c r="A211" s="272"/>
      <c r="B211" s="24" t="s">
        <v>122</v>
      </c>
      <c r="C211" s="273" t="s">
        <v>27</v>
      </c>
      <c r="D211" s="218">
        <f>0.07*1.23</f>
        <v>8.610000000000001E-2</v>
      </c>
      <c r="E211" s="274"/>
      <c r="F211" s="649"/>
      <c r="G211" s="166"/>
      <c r="H211" s="201"/>
      <c r="I211" s="201"/>
      <c r="J211" s="201"/>
      <c r="K211" s="201"/>
      <c r="L211" s="160"/>
      <c r="M211"/>
      <c r="N211"/>
      <c r="O211"/>
      <c r="P211"/>
      <c r="Q211"/>
    </row>
    <row r="212" spans="1:17" s="184" customFormat="1" ht="18" customHeight="1" x14ac:dyDescent="0.3">
      <c r="A212" s="272"/>
      <c r="B212" s="24" t="s">
        <v>138</v>
      </c>
      <c r="C212" s="273" t="s">
        <v>228</v>
      </c>
      <c r="D212" s="218">
        <f>0.07*0.306</f>
        <v>2.1420000000000002E-2</v>
      </c>
      <c r="E212" s="274"/>
      <c r="F212" s="649"/>
      <c r="G212" s="166"/>
      <c r="H212" s="201"/>
      <c r="I212" s="201"/>
      <c r="J212" s="201"/>
      <c r="K212" s="201"/>
      <c r="L212" s="160"/>
      <c r="M212"/>
      <c r="N212"/>
      <c r="O212"/>
      <c r="P212"/>
      <c r="Q212"/>
    </row>
    <row r="213" spans="1:17" s="69" customFormat="1" ht="13.95" customHeight="1" x14ac:dyDescent="0.3">
      <c r="A213" s="247"/>
      <c r="B213" s="24" t="s">
        <v>470</v>
      </c>
      <c r="C213" s="79" t="s">
        <v>33</v>
      </c>
      <c r="D213" s="79">
        <v>1.03</v>
      </c>
      <c r="E213" s="58"/>
      <c r="F213" s="297"/>
      <c r="G213" s="56"/>
      <c r="H213" s="58"/>
      <c r="I213" s="58"/>
      <c r="J213" s="58"/>
      <c r="K213" s="58"/>
      <c r="L213" s="57"/>
    </row>
    <row r="214" spans="1:17" s="208" customFormat="1" ht="18" customHeight="1" thickBot="1" x14ac:dyDescent="0.35">
      <c r="A214" s="563"/>
      <c r="B214" s="193" t="s">
        <v>14</v>
      </c>
      <c r="C214" s="207" t="s">
        <v>15</v>
      </c>
      <c r="D214" s="207">
        <v>1</v>
      </c>
      <c r="E214" s="143"/>
      <c r="F214" s="313"/>
      <c r="G214" s="143"/>
      <c r="H214" s="143"/>
      <c r="I214" s="143"/>
      <c r="J214" s="143"/>
      <c r="K214" s="143"/>
      <c r="L214" s="144"/>
    </row>
    <row r="215" spans="1:17" s="69" customFormat="1" ht="30.75" customHeight="1" x14ac:dyDescent="0.3">
      <c r="A215" s="97">
        <v>4</v>
      </c>
      <c r="B215" s="137" t="s">
        <v>410</v>
      </c>
      <c r="C215" s="134" t="s">
        <v>33</v>
      </c>
      <c r="D215" s="134"/>
      <c r="E215" s="138">
        <f>E206</f>
        <v>90.2</v>
      </c>
      <c r="F215" s="312"/>
      <c r="G215" s="138"/>
      <c r="H215" s="138"/>
      <c r="I215" s="138"/>
      <c r="J215" s="138"/>
      <c r="K215" s="138"/>
      <c r="L215" s="139"/>
    </row>
    <row r="216" spans="1:17" s="69" customFormat="1" ht="13.95" customHeight="1" x14ac:dyDescent="0.3">
      <c r="A216" s="408"/>
      <c r="B216" s="24" t="s">
        <v>8</v>
      </c>
      <c r="C216" s="79" t="s">
        <v>33</v>
      </c>
      <c r="D216" s="79">
        <v>1</v>
      </c>
      <c r="E216" s="58"/>
      <c r="F216" s="297"/>
      <c r="G216" s="58"/>
      <c r="H216" s="58"/>
      <c r="I216" s="58"/>
      <c r="J216" s="58"/>
      <c r="K216" s="58"/>
      <c r="L216" s="57"/>
    </row>
    <row r="217" spans="1:17" s="69" customFormat="1" ht="13.95" customHeight="1" x14ac:dyDescent="0.3">
      <c r="A217" s="408"/>
      <c r="B217" s="24" t="s">
        <v>10</v>
      </c>
      <c r="C217" s="79" t="s">
        <v>15</v>
      </c>
      <c r="D217" s="79">
        <v>1.7000000000000001E-2</v>
      </c>
      <c r="E217" s="58"/>
      <c r="F217" s="297"/>
      <c r="G217" s="58"/>
      <c r="H217" s="58"/>
      <c r="I217" s="58"/>
      <c r="J217" s="58"/>
      <c r="K217" s="58"/>
      <c r="L217" s="57"/>
    </row>
    <row r="218" spans="1:17" s="69" customFormat="1" ht="13.95" customHeight="1" x14ac:dyDescent="0.3">
      <c r="A218" s="408"/>
      <c r="B218" s="24" t="s">
        <v>12</v>
      </c>
      <c r="C218" s="79"/>
      <c r="D218" s="79"/>
      <c r="E218" s="58"/>
      <c r="F218" s="297"/>
      <c r="G218" s="58"/>
      <c r="H218" s="58"/>
      <c r="I218" s="58"/>
      <c r="J218" s="58"/>
      <c r="K218" s="58"/>
      <c r="L218" s="57"/>
    </row>
    <row r="219" spans="1:17" s="69" customFormat="1" ht="13.8" x14ac:dyDescent="0.3">
      <c r="A219" s="408"/>
      <c r="B219" s="24" t="s">
        <v>439</v>
      </c>
      <c r="C219" s="79" t="s">
        <v>13</v>
      </c>
      <c r="D219" s="79">
        <f>E215*0.05</f>
        <v>4.5100000000000007</v>
      </c>
      <c r="E219" s="58"/>
      <c r="F219" s="297"/>
      <c r="G219" s="56"/>
      <c r="H219" s="58"/>
      <c r="I219" s="58"/>
      <c r="J219" s="58"/>
      <c r="K219" s="58"/>
      <c r="L219" s="57"/>
      <c r="M219" s="126"/>
    </row>
    <row r="220" spans="1:17" s="69" customFormat="1" ht="13.95" customHeight="1" thickBot="1" x14ac:dyDescent="0.35">
      <c r="A220" s="409"/>
      <c r="B220" s="98" t="s">
        <v>14</v>
      </c>
      <c r="C220" s="141" t="s">
        <v>15</v>
      </c>
      <c r="D220" s="141">
        <v>0.22</v>
      </c>
      <c r="E220" s="142"/>
      <c r="F220" s="313"/>
      <c r="G220" s="143"/>
      <c r="H220" s="142"/>
      <c r="I220" s="142"/>
      <c r="J220" s="142"/>
      <c r="K220" s="142"/>
      <c r="L220" s="144"/>
    </row>
    <row r="221" spans="1:17" s="251" customFormat="1" ht="18" customHeight="1" thickBot="1" x14ac:dyDescent="0.3">
      <c r="A221" s="565">
        <v>5</v>
      </c>
      <c r="B221" s="252" t="s">
        <v>286</v>
      </c>
      <c r="C221" s="253" t="s">
        <v>229</v>
      </c>
      <c r="D221" s="253"/>
      <c r="E221" s="410">
        <f>E206</f>
        <v>90.2</v>
      </c>
      <c r="F221" s="626"/>
      <c r="G221" s="175">
        <f>F221*E221</f>
        <v>0</v>
      </c>
      <c r="H221" s="176"/>
      <c r="I221" s="175">
        <f>H221*E221</f>
        <v>0</v>
      </c>
      <c r="J221" s="176"/>
      <c r="K221" s="175">
        <f>J221*E221</f>
        <v>0</v>
      </c>
      <c r="L221" s="254">
        <f>K221+I221+G221</f>
        <v>0</v>
      </c>
    </row>
    <row r="222" spans="1:17" s="69" customFormat="1" ht="27.6" customHeight="1" x14ac:dyDescent="0.3">
      <c r="A222" s="561">
        <v>6</v>
      </c>
      <c r="B222" s="145" t="s">
        <v>224</v>
      </c>
      <c r="C222" s="146" t="s">
        <v>33</v>
      </c>
      <c r="D222" s="146"/>
      <c r="E222" s="147">
        <f>E221</f>
        <v>90.2</v>
      </c>
      <c r="F222" s="650"/>
      <c r="G222" s="147"/>
      <c r="H222" s="147"/>
      <c r="I222" s="147"/>
      <c r="J222" s="147"/>
      <c r="K222" s="147"/>
      <c r="L222" s="148"/>
    </row>
    <row r="223" spans="1:17" s="69" customFormat="1" ht="13.95" customHeight="1" x14ac:dyDescent="0.3">
      <c r="A223" s="247"/>
      <c r="B223" s="24" t="s">
        <v>8</v>
      </c>
      <c r="C223" s="79" t="s">
        <v>33</v>
      </c>
      <c r="D223" s="79">
        <v>1</v>
      </c>
      <c r="E223" s="58"/>
      <c r="F223" s="297"/>
      <c r="G223" s="56"/>
      <c r="H223" s="58"/>
      <c r="I223" s="58"/>
      <c r="J223" s="58"/>
      <c r="K223" s="58"/>
      <c r="L223" s="57"/>
    </row>
    <row r="224" spans="1:17" s="69" customFormat="1" ht="13.95" customHeight="1" x14ac:dyDescent="0.3">
      <c r="A224" s="247"/>
      <c r="B224" s="24" t="s">
        <v>10</v>
      </c>
      <c r="C224" s="79" t="s">
        <v>15</v>
      </c>
      <c r="D224" s="79">
        <f>0.08</f>
        <v>0.08</v>
      </c>
      <c r="E224" s="58"/>
      <c r="F224" s="297"/>
      <c r="G224" s="56"/>
      <c r="H224" s="58"/>
      <c r="I224" s="58"/>
      <c r="J224" s="58"/>
      <c r="K224" s="58"/>
      <c r="L224" s="57"/>
    </row>
    <row r="225" spans="1:14" s="69" customFormat="1" ht="13.95" customHeight="1" x14ac:dyDescent="0.3">
      <c r="A225" s="247"/>
      <c r="B225" s="24" t="s">
        <v>12</v>
      </c>
      <c r="C225" s="79"/>
      <c r="D225" s="79"/>
      <c r="E225" s="58"/>
      <c r="F225" s="297"/>
      <c r="G225" s="56"/>
      <c r="H225" s="58"/>
      <c r="I225" s="58"/>
      <c r="J225" s="58"/>
      <c r="K225" s="58"/>
      <c r="L225" s="57"/>
    </row>
    <row r="226" spans="1:14" s="69" customFormat="1" ht="27.6" x14ac:dyDescent="0.3">
      <c r="A226" s="247"/>
      <c r="B226" s="24" t="s">
        <v>275</v>
      </c>
      <c r="C226" s="79" t="s">
        <v>33</v>
      </c>
      <c r="D226" s="79">
        <f>1.05</f>
        <v>1.05</v>
      </c>
      <c r="E226" s="58"/>
      <c r="F226" s="297"/>
      <c r="G226" s="56"/>
      <c r="H226" s="58"/>
      <c r="I226" s="58"/>
      <c r="J226" s="58"/>
      <c r="K226" s="58"/>
      <c r="L226" s="57"/>
      <c r="N226" s="69" t="s">
        <v>329</v>
      </c>
    </row>
    <row r="227" spans="1:14" s="69" customFormat="1" ht="13.95" customHeight="1" x14ac:dyDescent="0.3">
      <c r="A227" s="247"/>
      <c r="B227" s="24" t="s">
        <v>335</v>
      </c>
      <c r="C227" s="79" t="s">
        <v>13</v>
      </c>
      <c r="D227" s="79">
        <v>5</v>
      </c>
      <c r="E227" s="58"/>
      <c r="F227" s="297"/>
      <c r="G227" s="56"/>
      <c r="H227" s="58"/>
      <c r="I227" s="58"/>
      <c r="J227" s="58"/>
      <c r="K227" s="58"/>
      <c r="L227" s="57"/>
    </row>
    <row r="228" spans="1:14" s="69" customFormat="1" ht="13.95" customHeight="1" x14ac:dyDescent="0.3">
      <c r="A228" s="247"/>
      <c r="B228" s="24" t="s">
        <v>39</v>
      </c>
      <c r="C228" s="79" t="s">
        <v>13</v>
      </c>
      <c r="D228" s="79">
        <v>0.15</v>
      </c>
      <c r="E228" s="58"/>
      <c r="F228" s="297"/>
      <c r="G228" s="56"/>
      <c r="H228" s="58"/>
      <c r="I228" s="58"/>
      <c r="J228" s="58"/>
      <c r="K228" s="58"/>
      <c r="L228" s="57"/>
    </row>
    <row r="229" spans="1:14" s="69" customFormat="1" ht="13.95" customHeight="1" thickBot="1" x14ac:dyDescent="0.35">
      <c r="A229" s="279"/>
      <c r="B229" s="98" t="s">
        <v>14</v>
      </c>
      <c r="C229" s="141" t="s">
        <v>15</v>
      </c>
      <c r="D229" s="141">
        <f>0.19</f>
        <v>0.19</v>
      </c>
      <c r="E229" s="142"/>
      <c r="F229" s="313"/>
      <c r="G229" s="143"/>
      <c r="H229" s="142"/>
      <c r="I229" s="142"/>
      <c r="J229" s="142"/>
      <c r="K229" s="142"/>
      <c r="L229" s="144"/>
    </row>
    <row r="230" spans="1:14" s="69" customFormat="1" ht="14.4" customHeight="1" thickBot="1" x14ac:dyDescent="0.35">
      <c r="A230" s="569"/>
      <c r="B230" s="213" t="s">
        <v>233</v>
      </c>
      <c r="C230" s="213"/>
      <c r="D230" s="213"/>
      <c r="E230" s="214"/>
      <c r="F230" s="214"/>
      <c r="G230" s="214"/>
      <c r="H230" s="214"/>
      <c r="I230" s="214"/>
      <c r="J230" s="214"/>
      <c r="K230" s="214"/>
      <c r="L230" s="215"/>
    </row>
    <row r="231" spans="1:14" s="69" customFormat="1" ht="29.25" customHeight="1" x14ac:dyDescent="0.3">
      <c r="A231" s="97">
        <v>1</v>
      </c>
      <c r="B231" s="137" t="s">
        <v>270</v>
      </c>
      <c r="C231" s="134" t="s">
        <v>33</v>
      </c>
      <c r="D231" s="134"/>
      <c r="E231" s="138">
        <v>502</v>
      </c>
      <c r="F231" s="312"/>
      <c r="G231" s="138"/>
      <c r="H231" s="138"/>
      <c r="I231" s="138"/>
      <c r="J231" s="138"/>
      <c r="K231" s="138"/>
      <c r="L231" s="139"/>
    </row>
    <row r="232" spans="1:14" s="69" customFormat="1" ht="13.8" x14ac:dyDescent="0.3">
      <c r="A232" s="247"/>
      <c r="B232" s="24" t="s">
        <v>8</v>
      </c>
      <c r="C232" s="79" t="s">
        <v>33</v>
      </c>
      <c r="D232" s="79">
        <v>1</v>
      </c>
      <c r="E232" s="58"/>
      <c r="F232" s="297"/>
      <c r="G232" s="58"/>
      <c r="H232" s="58"/>
      <c r="I232" s="58"/>
      <c r="J232" s="58"/>
      <c r="K232" s="58"/>
      <c r="L232" s="57"/>
    </row>
    <row r="233" spans="1:14" s="69" customFormat="1" ht="13.8" x14ac:dyDescent="0.3">
      <c r="A233" s="247"/>
      <c r="B233" s="24" t="s">
        <v>10</v>
      </c>
      <c r="C233" s="79" t="s">
        <v>15</v>
      </c>
      <c r="D233" s="79">
        <v>1.7000000000000001E-2</v>
      </c>
      <c r="E233" s="58"/>
      <c r="F233" s="297"/>
      <c r="G233" s="58"/>
      <c r="H233" s="58"/>
      <c r="I233" s="58"/>
      <c r="J233" s="58"/>
      <c r="K233" s="58"/>
      <c r="L233" s="57"/>
    </row>
    <row r="234" spans="1:14" s="69" customFormat="1" ht="13.8" x14ac:dyDescent="0.3">
      <c r="A234" s="247"/>
      <c r="B234" s="24" t="s">
        <v>12</v>
      </c>
      <c r="C234" s="79"/>
      <c r="D234" s="79"/>
      <c r="E234" s="58"/>
      <c r="F234" s="297"/>
      <c r="G234" s="58"/>
      <c r="H234" s="58"/>
      <c r="I234" s="58"/>
      <c r="J234" s="58"/>
      <c r="K234" s="58"/>
      <c r="L234" s="57"/>
    </row>
    <row r="235" spans="1:14" s="69" customFormat="1" ht="28.8" x14ac:dyDescent="0.3">
      <c r="A235" s="247"/>
      <c r="B235" s="24" t="s">
        <v>282</v>
      </c>
      <c r="C235" s="79" t="s">
        <v>33</v>
      </c>
      <c r="D235" s="79">
        <v>1.05</v>
      </c>
      <c r="E235" s="58"/>
      <c r="F235" s="297"/>
      <c r="G235" s="56"/>
      <c r="H235" s="58"/>
      <c r="I235" s="58"/>
      <c r="J235" s="58"/>
      <c r="K235" s="58"/>
      <c r="L235" s="57"/>
    </row>
    <row r="236" spans="1:14" s="69" customFormat="1" thickBot="1" x14ac:dyDescent="0.35">
      <c r="A236" s="279"/>
      <c r="B236" s="98" t="s">
        <v>14</v>
      </c>
      <c r="C236" s="141" t="s">
        <v>15</v>
      </c>
      <c r="D236" s="141">
        <v>0.22</v>
      </c>
      <c r="E236" s="142"/>
      <c r="F236" s="313"/>
      <c r="G236" s="143"/>
      <c r="H236" s="142"/>
      <c r="I236" s="142"/>
      <c r="J236" s="142"/>
      <c r="K236" s="142"/>
      <c r="L236" s="144"/>
    </row>
    <row r="237" spans="1:14" s="158" customFormat="1" ht="27.75" customHeight="1" x14ac:dyDescent="0.3">
      <c r="A237" s="555">
        <v>2</v>
      </c>
      <c r="B237" s="137" t="s">
        <v>73</v>
      </c>
      <c r="C237" s="134" t="s">
        <v>33</v>
      </c>
      <c r="D237" s="161"/>
      <c r="E237" s="138">
        <f>E231</f>
        <v>502</v>
      </c>
      <c r="F237" s="163"/>
      <c r="G237" s="163"/>
      <c r="H237" s="163"/>
      <c r="I237" s="163"/>
      <c r="J237" s="163"/>
      <c r="K237" s="163"/>
      <c r="L237" s="164"/>
    </row>
    <row r="238" spans="1:14" s="158" customFormat="1" ht="13.8" x14ac:dyDescent="0.3">
      <c r="A238" s="247"/>
      <c r="B238" s="24" t="s">
        <v>8</v>
      </c>
      <c r="C238" s="79" t="s">
        <v>33</v>
      </c>
      <c r="D238" s="159">
        <v>1</v>
      </c>
      <c r="E238" s="159"/>
      <c r="F238" s="166"/>
      <c r="G238" s="165"/>
      <c r="H238" s="165"/>
      <c r="I238" s="165"/>
      <c r="J238" s="165"/>
      <c r="K238" s="165"/>
      <c r="L238" s="160"/>
    </row>
    <row r="239" spans="1:14" s="158" customFormat="1" ht="13.8" x14ac:dyDescent="0.3">
      <c r="A239" s="247"/>
      <c r="B239" s="24" t="s">
        <v>10</v>
      </c>
      <c r="C239" s="79" t="s">
        <v>15</v>
      </c>
      <c r="D239" s="159">
        <v>1.7000000000000001E-2</v>
      </c>
      <c r="E239" s="159"/>
      <c r="F239" s="166"/>
      <c r="G239" s="165"/>
      <c r="H239" s="165"/>
      <c r="I239" s="165"/>
      <c r="J239" s="58"/>
      <c r="K239" s="165"/>
      <c r="L239" s="160"/>
    </row>
    <row r="240" spans="1:14" s="158" customFormat="1" ht="13.8" x14ac:dyDescent="0.3">
      <c r="A240" s="247"/>
      <c r="B240" s="24" t="s">
        <v>12</v>
      </c>
      <c r="C240" s="79"/>
      <c r="D240" s="159"/>
      <c r="E240" s="159"/>
      <c r="F240" s="166"/>
      <c r="G240" s="165"/>
      <c r="H240" s="165"/>
      <c r="I240" s="165"/>
      <c r="J240" s="165"/>
      <c r="K240" s="165"/>
      <c r="L240" s="160"/>
    </row>
    <row r="241" spans="1:12" s="158" customFormat="1" ht="27.6" x14ac:dyDescent="0.3">
      <c r="A241" s="247"/>
      <c r="B241" s="24" t="s">
        <v>226</v>
      </c>
      <c r="C241" s="79" t="s">
        <v>33</v>
      </c>
      <c r="D241" s="159">
        <v>1.1100000000000001</v>
      </c>
      <c r="E241" s="159"/>
      <c r="F241" s="166"/>
      <c r="G241" s="166"/>
      <c r="H241" s="165"/>
      <c r="I241" s="165"/>
      <c r="J241" s="165"/>
      <c r="K241" s="165"/>
      <c r="L241" s="160"/>
    </row>
    <row r="242" spans="1:12" s="158" customFormat="1" thickBot="1" x14ac:dyDescent="0.35">
      <c r="A242" s="247"/>
      <c r="B242" s="24" t="s">
        <v>14</v>
      </c>
      <c r="C242" s="79" t="s">
        <v>15</v>
      </c>
      <c r="D242" s="159">
        <v>0.22</v>
      </c>
      <c r="E242" s="159"/>
      <c r="F242" s="313"/>
      <c r="G242" s="166"/>
      <c r="H242" s="165"/>
      <c r="I242" s="165"/>
      <c r="J242" s="165"/>
      <c r="K242" s="165"/>
      <c r="L242" s="160"/>
    </row>
    <row r="243" spans="1:12" s="158" customFormat="1" ht="27.75" customHeight="1" x14ac:dyDescent="0.3">
      <c r="A243" s="555">
        <v>3</v>
      </c>
      <c r="B243" s="137" t="s">
        <v>284</v>
      </c>
      <c r="C243" s="134" t="s">
        <v>33</v>
      </c>
      <c r="D243" s="161"/>
      <c r="E243" s="138">
        <f>E237</f>
        <v>502</v>
      </c>
      <c r="F243" s="163"/>
      <c r="G243" s="163"/>
      <c r="H243" s="163"/>
      <c r="I243" s="163"/>
      <c r="J243" s="163"/>
      <c r="K243" s="163"/>
      <c r="L243" s="164"/>
    </row>
    <row r="244" spans="1:12" s="158" customFormat="1" ht="13.8" x14ac:dyDescent="0.3">
      <c r="A244" s="247"/>
      <c r="B244" s="24" t="s">
        <v>8</v>
      </c>
      <c r="C244" s="79" t="s">
        <v>33</v>
      </c>
      <c r="D244" s="159">
        <v>1</v>
      </c>
      <c r="E244" s="159"/>
      <c r="F244" s="166"/>
      <c r="G244" s="165"/>
      <c r="H244" s="58"/>
      <c r="I244" s="165"/>
      <c r="J244" s="165"/>
      <c r="K244" s="165"/>
      <c r="L244" s="160"/>
    </row>
    <row r="245" spans="1:12" s="158" customFormat="1" ht="13.8" x14ac:dyDescent="0.3">
      <c r="A245" s="247"/>
      <c r="B245" s="24" t="s">
        <v>10</v>
      </c>
      <c r="C245" s="79" t="s">
        <v>15</v>
      </c>
      <c r="D245" s="159">
        <v>1.7000000000000001E-2</v>
      </c>
      <c r="E245" s="159"/>
      <c r="F245" s="166"/>
      <c r="G245" s="165"/>
      <c r="H245" s="165"/>
      <c r="I245" s="165"/>
      <c r="J245" s="58"/>
      <c r="K245" s="165"/>
      <c r="L245" s="160"/>
    </row>
    <row r="246" spans="1:12" s="158" customFormat="1" ht="13.8" x14ac:dyDescent="0.3">
      <c r="A246" s="247"/>
      <c r="B246" s="24" t="s">
        <v>12</v>
      </c>
      <c r="C246" s="79"/>
      <c r="D246" s="159"/>
      <c r="E246" s="159"/>
      <c r="F246" s="166"/>
      <c r="G246" s="165"/>
      <c r="H246" s="165"/>
      <c r="I246" s="165"/>
      <c r="J246" s="165"/>
      <c r="K246" s="165"/>
      <c r="L246" s="160"/>
    </row>
    <row r="247" spans="1:12" s="158" customFormat="1" ht="13.8" x14ac:dyDescent="0.3">
      <c r="A247" s="247"/>
      <c r="B247" s="24" t="s">
        <v>283</v>
      </c>
      <c r="C247" s="79" t="s">
        <v>33</v>
      </c>
      <c r="D247" s="159">
        <v>1.05</v>
      </c>
      <c r="E247" s="159"/>
      <c r="F247" s="166"/>
      <c r="G247" s="166"/>
      <c r="H247" s="165"/>
      <c r="I247" s="165"/>
      <c r="J247" s="165"/>
      <c r="K247" s="165"/>
      <c r="L247" s="160"/>
    </row>
    <row r="248" spans="1:12" s="158" customFormat="1" thickBot="1" x14ac:dyDescent="0.35">
      <c r="A248" s="401"/>
      <c r="B248" s="24" t="s">
        <v>14</v>
      </c>
      <c r="C248" s="141" t="s">
        <v>15</v>
      </c>
      <c r="D248" s="168">
        <v>0.06</v>
      </c>
      <c r="E248" s="168"/>
      <c r="F248" s="313"/>
      <c r="G248" s="169"/>
      <c r="H248" s="170"/>
      <c r="I248" s="170"/>
      <c r="J248" s="170"/>
      <c r="K248" s="170"/>
      <c r="L248" s="171"/>
    </row>
    <row r="249" spans="1:12" s="158" customFormat="1" ht="27.75" customHeight="1" x14ac:dyDescent="0.3">
      <c r="A249" s="555">
        <v>4</v>
      </c>
      <c r="B249" s="137" t="s">
        <v>258</v>
      </c>
      <c r="C249" s="134" t="s">
        <v>33</v>
      </c>
      <c r="D249" s="161"/>
      <c r="E249" s="138">
        <f>E243</f>
        <v>502</v>
      </c>
      <c r="F249" s="163"/>
      <c r="G249" s="163"/>
      <c r="H249" s="163"/>
      <c r="I249" s="163"/>
      <c r="J249" s="163"/>
      <c r="K249" s="163"/>
      <c r="L249" s="164"/>
    </row>
    <row r="250" spans="1:12" s="158" customFormat="1" ht="13.8" x14ac:dyDescent="0.3">
      <c r="A250" s="247"/>
      <c r="B250" s="24" t="s">
        <v>8</v>
      </c>
      <c r="C250" s="79" t="s">
        <v>33</v>
      </c>
      <c r="D250" s="159">
        <v>1</v>
      </c>
      <c r="E250" s="159"/>
      <c r="F250" s="166"/>
      <c r="G250" s="165"/>
      <c r="H250" s="58"/>
      <c r="I250" s="165"/>
      <c r="J250" s="165"/>
      <c r="K250" s="165"/>
      <c r="L250" s="160"/>
    </row>
    <row r="251" spans="1:12" s="158" customFormat="1" ht="13.8" x14ac:dyDescent="0.3">
      <c r="A251" s="247"/>
      <c r="B251" s="24" t="s">
        <v>10</v>
      </c>
      <c r="C251" s="79" t="s">
        <v>15</v>
      </c>
      <c r="D251" s="159">
        <v>1.7000000000000001E-2</v>
      </c>
      <c r="E251" s="159"/>
      <c r="F251" s="166"/>
      <c r="G251" s="165"/>
      <c r="H251" s="165"/>
      <c r="I251" s="165"/>
      <c r="J251" s="58"/>
      <c r="K251" s="165"/>
      <c r="L251" s="160"/>
    </row>
    <row r="252" spans="1:12" s="158" customFormat="1" ht="13.8" x14ac:dyDescent="0.3">
      <c r="A252" s="247"/>
      <c r="B252" s="24" t="s">
        <v>12</v>
      </c>
      <c r="C252" s="79"/>
      <c r="D252" s="159"/>
      <c r="E252" s="159"/>
      <c r="F252" s="166"/>
      <c r="G252" s="165"/>
      <c r="H252" s="165"/>
      <c r="I252" s="165"/>
      <c r="J252" s="165"/>
      <c r="K252" s="165"/>
      <c r="L252" s="160"/>
    </row>
    <row r="253" spans="1:12" s="158" customFormat="1" ht="13.8" x14ac:dyDescent="0.3">
      <c r="A253" s="247"/>
      <c r="B253" s="24" t="s">
        <v>288</v>
      </c>
      <c r="C253" s="79" t="s">
        <v>33</v>
      </c>
      <c r="D253" s="159">
        <v>1.05</v>
      </c>
      <c r="E253" s="159"/>
      <c r="F253" s="166"/>
      <c r="G253" s="166"/>
      <c r="H253" s="165"/>
      <c r="I253" s="165"/>
      <c r="J253" s="165"/>
      <c r="K253" s="165"/>
      <c r="L253" s="160"/>
    </row>
    <row r="254" spans="1:12" s="158" customFormat="1" ht="17.399999999999999" x14ac:dyDescent="0.3">
      <c r="A254" s="247"/>
      <c r="B254" s="248" t="s">
        <v>231</v>
      </c>
      <c r="C254" s="249" t="s">
        <v>236</v>
      </c>
      <c r="D254" s="159">
        <v>1.05</v>
      </c>
      <c r="E254" s="159"/>
      <c r="F254" s="166"/>
      <c r="G254" s="166"/>
      <c r="H254" s="165"/>
      <c r="I254" s="165"/>
      <c r="J254" s="165"/>
      <c r="K254" s="165"/>
      <c r="L254" s="160"/>
    </row>
    <row r="255" spans="1:12" s="158" customFormat="1" thickBot="1" x14ac:dyDescent="0.35">
      <c r="A255" s="401"/>
      <c r="B255" s="24" t="s">
        <v>14</v>
      </c>
      <c r="C255" s="141" t="s">
        <v>15</v>
      </c>
      <c r="D255" s="168">
        <v>0.06</v>
      </c>
      <c r="E255" s="168"/>
      <c r="F255" s="313"/>
      <c r="G255" s="169"/>
      <c r="H255" s="170"/>
      <c r="I255" s="170"/>
      <c r="J255" s="170"/>
      <c r="K255" s="170"/>
      <c r="L255" s="171"/>
    </row>
    <row r="256" spans="1:12" s="69" customFormat="1" ht="27.75" customHeight="1" x14ac:dyDescent="0.3">
      <c r="A256" s="97">
        <v>5</v>
      </c>
      <c r="B256" s="137" t="s">
        <v>445</v>
      </c>
      <c r="C256" s="134" t="s">
        <v>33</v>
      </c>
      <c r="D256" s="134"/>
      <c r="E256" s="138">
        <f>E249</f>
        <v>502</v>
      </c>
      <c r="F256" s="312"/>
      <c r="G256" s="138"/>
      <c r="H256" s="138"/>
      <c r="I256" s="138"/>
      <c r="J256" s="138"/>
      <c r="K256" s="138"/>
      <c r="L256" s="139"/>
    </row>
    <row r="257" spans="1:17" s="69" customFormat="1" ht="13.95" customHeight="1" x14ac:dyDescent="0.3">
      <c r="A257" s="247"/>
      <c r="B257" s="24" t="s">
        <v>8</v>
      </c>
      <c r="C257" s="79" t="s">
        <v>33</v>
      </c>
      <c r="D257" s="79">
        <v>1</v>
      </c>
      <c r="E257" s="58"/>
      <c r="F257" s="297"/>
      <c r="G257" s="58"/>
      <c r="H257" s="58"/>
      <c r="I257" s="58"/>
      <c r="J257" s="58"/>
      <c r="K257" s="58"/>
      <c r="L257" s="57"/>
    </row>
    <row r="258" spans="1:17" s="69" customFormat="1" ht="13.95" customHeight="1" x14ac:dyDescent="0.3">
      <c r="A258" s="247"/>
      <c r="B258" s="24" t="s">
        <v>12</v>
      </c>
      <c r="C258" s="79"/>
      <c r="D258" s="79"/>
      <c r="E258" s="58"/>
      <c r="F258" s="297"/>
      <c r="G258" s="58"/>
      <c r="H258" s="58"/>
      <c r="I258" s="58"/>
      <c r="J258" s="58"/>
      <c r="K258" s="58"/>
      <c r="L258" s="57"/>
    </row>
    <row r="259" spans="1:17" s="69" customFormat="1" ht="13.95" customHeight="1" x14ac:dyDescent="0.3">
      <c r="A259" s="560"/>
      <c r="B259" s="613" t="s">
        <v>122</v>
      </c>
      <c r="C259" s="151" t="s">
        <v>27</v>
      </c>
      <c r="D259" s="151">
        <f>0.134*1.02</f>
        <v>0.13668000000000002</v>
      </c>
      <c r="E259" s="152"/>
      <c r="F259" s="652"/>
      <c r="G259" s="167"/>
      <c r="H259" s="152"/>
      <c r="I259" s="152"/>
      <c r="J259" s="152"/>
      <c r="K259" s="152"/>
      <c r="L259" s="153"/>
    </row>
    <row r="260" spans="1:17" s="158" customFormat="1" ht="18" thickBot="1" x14ac:dyDescent="0.35">
      <c r="A260" s="279"/>
      <c r="B260" s="280" t="s">
        <v>231</v>
      </c>
      <c r="C260" s="250" t="s">
        <v>236</v>
      </c>
      <c r="D260" s="141">
        <v>1.05</v>
      </c>
      <c r="E260" s="142"/>
      <c r="F260" s="313"/>
      <c r="G260" s="142"/>
      <c r="H260" s="142"/>
      <c r="I260" s="142"/>
      <c r="J260" s="142"/>
      <c r="K260" s="142"/>
      <c r="L260" s="144"/>
    </row>
    <row r="261" spans="1:17" s="69" customFormat="1" ht="29.25" customHeight="1" x14ac:dyDescent="0.3">
      <c r="A261" s="97">
        <v>6</v>
      </c>
      <c r="B261" s="137" t="s">
        <v>240</v>
      </c>
      <c r="C261" s="134" t="s">
        <v>33</v>
      </c>
      <c r="D261" s="134"/>
      <c r="E261" s="138">
        <f>E249</f>
        <v>502</v>
      </c>
      <c r="F261" s="312"/>
      <c r="G261" s="138"/>
      <c r="H261" s="138"/>
      <c r="I261" s="138"/>
      <c r="J261" s="138"/>
      <c r="K261" s="138"/>
      <c r="L261" s="139"/>
    </row>
    <row r="262" spans="1:17" s="69" customFormat="1" ht="13.95" customHeight="1" x14ac:dyDescent="0.3">
      <c r="A262" s="247"/>
      <c r="B262" s="24" t="s">
        <v>8</v>
      </c>
      <c r="C262" s="79" t="s">
        <v>33</v>
      </c>
      <c r="D262" s="79">
        <v>1</v>
      </c>
      <c r="E262" s="58"/>
      <c r="F262" s="297"/>
      <c r="G262" s="58"/>
      <c r="H262" s="58"/>
      <c r="I262" s="58"/>
      <c r="J262" s="58"/>
      <c r="K262" s="58"/>
      <c r="L262" s="57"/>
      <c r="N262" s="118"/>
    </row>
    <row r="263" spans="1:17" s="69" customFormat="1" ht="13.95" customHeight="1" x14ac:dyDescent="0.3">
      <c r="A263" s="247"/>
      <c r="B263" s="24" t="s">
        <v>10</v>
      </c>
      <c r="C263" s="79" t="s">
        <v>15</v>
      </c>
      <c r="D263" s="281">
        <v>1</v>
      </c>
      <c r="E263" s="58"/>
      <c r="F263" s="297"/>
      <c r="G263" s="58"/>
      <c r="H263" s="58"/>
      <c r="I263" s="58"/>
      <c r="J263" s="58"/>
      <c r="K263" s="58"/>
      <c r="L263" s="57"/>
    </row>
    <row r="264" spans="1:17" s="69" customFormat="1" ht="13.95" customHeight="1" x14ac:dyDescent="0.3">
      <c r="A264" s="247"/>
      <c r="B264" s="24" t="s">
        <v>12</v>
      </c>
      <c r="C264" s="79"/>
      <c r="D264" s="79"/>
      <c r="E264" s="58"/>
      <c r="F264" s="297"/>
      <c r="G264" s="58"/>
      <c r="H264" s="58"/>
      <c r="I264" s="58"/>
      <c r="J264" s="58"/>
      <c r="K264" s="58"/>
      <c r="L264" s="57"/>
    </row>
    <row r="265" spans="1:17" s="184" customFormat="1" ht="18" customHeight="1" x14ac:dyDescent="0.3">
      <c r="A265" s="120"/>
      <c r="B265" s="24" t="s">
        <v>269</v>
      </c>
      <c r="C265" s="121" t="s">
        <v>27</v>
      </c>
      <c r="D265" s="79">
        <f>(2.04+0.51*10)/100</f>
        <v>7.1399999999999991E-2</v>
      </c>
      <c r="E265" s="122"/>
      <c r="F265" s="649"/>
      <c r="G265" s="166"/>
      <c r="H265" s="165"/>
      <c r="I265" s="165"/>
      <c r="J265" s="165"/>
      <c r="K265" s="165"/>
      <c r="L265" s="160"/>
      <c r="M265"/>
      <c r="N265"/>
      <c r="O265"/>
      <c r="P265"/>
      <c r="Q265"/>
    </row>
    <row r="266" spans="1:17" s="184" customFormat="1" ht="18" customHeight="1" x14ac:dyDescent="0.3">
      <c r="A266" s="272"/>
      <c r="B266" s="24" t="s">
        <v>122</v>
      </c>
      <c r="C266" s="273" t="s">
        <v>27</v>
      </c>
      <c r="D266" s="218">
        <f>0.07*1.23</f>
        <v>8.610000000000001E-2</v>
      </c>
      <c r="E266" s="274"/>
      <c r="F266" s="297"/>
      <c r="G266" s="166"/>
      <c r="H266" s="201"/>
      <c r="I266" s="201"/>
      <c r="J266" s="201"/>
      <c r="K266" s="201"/>
      <c r="L266" s="160"/>
      <c r="M266"/>
      <c r="N266"/>
      <c r="O266"/>
      <c r="P266"/>
      <c r="Q266"/>
    </row>
    <row r="267" spans="1:17" s="184" customFormat="1" ht="18" customHeight="1" x14ac:dyDescent="0.3">
      <c r="A267" s="272"/>
      <c r="B267" s="24" t="s">
        <v>138</v>
      </c>
      <c r="C267" s="273" t="s">
        <v>228</v>
      </c>
      <c r="D267" s="218">
        <f>0.07*0.306</f>
        <v>2.1420000000000002E-2</v>
      </c>
      <c r="E267" s="274"/>
      <c r="F267" s="297"/>
      <c r="G267" s="166"/>
      <c r="H267" s="201"/>
      <c r="I267" s="201"/>
      <c r="J267" s="201"/>
      <c r="K267" s="201"/>
      <c r="L267" s="160"/>
      <c r="M267"/>
      <c r="N267"/>
      <c r="O267"/>
      <c r="P267"/>
      <c r="Q267"/>
    </row>
    <row r="268" spans="1:17" s="69" customFormat="1" ht="13.95" customHeight="1" x14ac:dyDescent="0.3">
      <c r="A268" s="247"/>
      <c r="B268" s="24" t="s">
        <v>470</v>
      </c>
      <c r="C268" s="79" t="s">
        <v>33</v>
      </c>
      <c r="D268" s="79">
        <v>1.03</v>
      </c>
      <c r="E268" s="58"/>
      <c r="F268" s="297"/>
      <c r="G268" s="56"/>
      <c r="H268" s="58"/>
      <c r="I268" s="58"/>
      <c r="J268" s="58"/>
      <c r="K268" s="58"/>
      <c r="L268" s="57"/>
    </row>
    <row r="269" spans="1:17" s="69" customFormat="1" ht="13.95" customHeight="1" thickBot="1" x14ac:dyDescent="0.35">
      <c r="A269" s="560"/>
      <c r="B269" s="150" t="s">
        <v>14</v>
      </c>
      <c r="C269" s="151" t="s">
        <v>15</v>
      </c>
      <c r="D269" s="151">
        <v>1</v>
      </c>
      <c r="E269" s="152"/>
      <c r="F269" s="313"/>
      <c r="G269" s="167"/>
      <c r="H269" s="152"/>
      <c r="I269" s="152"/>
      <c r="J269" s="152"/>
      <c r="K269" s="152"/>
      <c r="L269" s="153"/>
    </row>
    <row r="270" spans="1:17" s="251" customFormat="1" ht="18" customHeight="1" thickBot="1" x14ac:dyDescent="0.3">
      <c r="A270" s="565">
        <v>7</v>
      </c>
      <c r="B270" s="252" t="s">
        <v>289</v>
      </c>
      <c r="C270" s="253" t="s">
        <v>229</v>
      </c>
      <c r="D270" s="253"/>
      <c r="E270" s="176">
        <f>E261</f>
        <v>502</v>
      </c>
      <c r="F270" s="626"/>
      <c r="G270" s="175">
        <f>F270*E270</f>
        <v>0</v>
      </c>
      <c r="H270" s="268"/>
      <c r="I270" s="175">
        <f>H270*E270</f>
        <v>0</v>
      </c>
      <c r="J270" s="176"/>
      <c r="K270" s="175">
        <f>J270*E270</f>
        <v>0</v>
      </c>
      <c r="L270" s="254">
        <f>K270+I270+G270</f>
        <v>0</v>
      </c>
    </row>
    <row r="271" spans="1:17" s="69" customFormat="1" ht="14.4" customHeight="1" thickBot="1" x14ac:dyDescent="0.35">
      <c r="A271" s="566"/>
      <c r="B271" s="131" t="s">
        <v>290</v>
      </c>
      <c r="C271" s="131"/>
      <c r="D271" s="131"/>
      <c r="E271" s="132"/>
      <c r="F271" s="132"/>
      <c r="G271" s="132"/>
      <c r="H271" s="269"/>
      <c r="I271" s="132"/>
      <c r="J271" s="132"/>
      <c r="K271" s="132"/>
      <c r="L271" s="133"/>
    </row>
    <row r="272" spans="1:17" s="69" customFormat="1" ht="29.25" customHeight="1" x14ac:dyDescent="0.3">
      <c r="A272" s="97">
        <v>1</v>
      </c>
      <c r="B272" s="137" t="s">
        <v>291</v>
      </c>
      <c r="C272" s="134" t="s">
        <v>33</v>
      </c>
      <c r="D272" s="134"/>
      <c r="E272" s="138">
        <v>164.8</v>
      </c>
      <c r="F272" s="312"/>
      <c r="G272" s="138"/>
      <c r="H272" s="138"/>
      <c r="I272" s="138"/>
      <c r="J272" s="138"/>
      <c r="K272" s="138"/>
      <c r="L272" s="139"/>
      <c r="O272" s="432"/>
    </row>
    <row r="273" spans="1:17" s="69" customFormat="1" ht="13.95" customHeight="1" x14ac:dyDescent="0.3">
      <c r="A273" s="247"/>
      <c r="B273" s="24" t="s">
        <v>8</v>
      </c>
      <c r="C273" s="79" t="s">
        <v>33</v>
      </c>
      <c r="D273" s="79">
        <v>1</v>
      </c>
      <c r="E273" s="58"/>
      <c r="F273" s="297"/>
      <c r="G273" s="58"/>
      <c r="H273" s="58"/>
      <c r="I273" s="58"/>
      <c r="J273" s="58"/>
      <c r="K273" s="58"/>
      <c r="L273" s="57"/>
      <c r="N273" s="118"/>
      <c r="O273" s="432"/>
    </row>
    <row r="274" spans="1:17" s="69" customFormat="1" ht="13.95" customHeight="1" x14ac:dyDescent="0.3">
      <c r="A274" s="247"/>
      <c r="B274" s="24" t="s">
        <v>10</v>
      </c>
      <c r="C274" s="79" t="s">
        <v>15</v>
      </c>
      <c r="D274" s="180">
        <v>1</v>
      </c>
      <c r="E274" s="58"/>
      <c r="F274" s="297"/>
      <c r="G274" s="58"/>
      <c r="H274" s="58"/>
      <c r="I274" s="58"/>
      <c r="J274" s="58"/>
      <c r="K274" s="58"/>
      <c r="L274" s="57"/>
      <c r="O274" s="432"/>
    </row>
    <row r="275" spans="1:17" s="69" customFormat="1" ht="13.95" customHeight="1" x14ac:dyDescent="0.3">
      <c r="A275" s="247"/>
      <c r="B275" s="24" t="s">
        <v>12</v>
      </c>
      <c r="C275" s="79"/>
      <c r="D275" s="79"/>
      <c r="E275" s="58"/>
      <c r="F275" s="297"/>
      <c r="G275" s="58"/>
      <c r="H275" s="58"/>
      <c r="I275" s="58"/>
      <c r="J275" s="58"/>
      <c r="K275" s="58"/>
      <c r="L275" s="57"/>
      <c r="O275" s="432"/>
    </row>
    <row r="276" spans="1:17" s="184" customFormat="1" ht="18" customHeight="1" x14ac:dyDescent="0.5">
      <c r="A276" s="120"/>
      <c r="B276" s="24" t="s">
        <v>269</v>
      </c>
      <c r="C276" s="121" t="s">
        <v>27</v>
      </c>
      <c r="D276" s="79">
        <f>(2.04+0.51*10)/100</f>
        <v>7.1399999999999991E-2</v>
      </c>
      <c r="E276" s="122"/>
      <c r="F276" s="649"/>
      <c r="G276" s="166"/>
      <c r="H276" s="165"/>
      <c r="I276" s="165"/>
      <c r="J276" s="165"/>
      <c r="K276" s="165"/>
      <c r="L276" s="160"/>
      <c r="M276" s="553"/>
      <c r="N276"/>
      <c r="O276" s="550"/>
      <c r="P276"/>
      <c r="Q276"/>
    </row>
    <row r="277" spans="1:17" s="184" customFormat="1" ht="18" customHeight="1" x14ac:dyDescent="0.3">
      <c r="A277" s="272"/>
      <c r="B277" s="24" t="s">
        <v>122</v>
      </c>
      <c r="C277" s="273" t="s">
        <v>27</v>
      </c>
      <c r="D277" s="218">
        <f>0.07*1.23</f>
        <v>8.610000000000001E-2</v>
      </c>
      <c r="E277" s="274"/>
      <c r="F277" s="297"/>
      <c r="G277" s="166"/>
      <c r="H277" s="201"/>
      <c r="I277" s="201"/>
      <c r="J277" s="201"/>
      <c r="K277" s="201"/>
      <c r="L277" s="160"/>
      <c r="M277"/>
      <c r="N277"/>
      <c r="O277" s="550"/>
      <c r="P277"/>
      <c r="Q277"/>
    </row>
    <row r="278" spans="1:17" s="184" customFormat="1" ht="18" customHeight="1" x14ac:dyDescent="0.3">
      <c r="A278" s="272"/>
      <c r="B278" s="24" t="s">
        <v>138</v>
      </c>
      <c r="C278" s="273" t="s">
        <v>228</v>
      </c>
      <c r="D278" s="218">
        <f>0.07*0.306</f>
        <v>2.1420000000000002E-2</v>
      </c>
      <c r="E278" s="274"/>
      <c r="F278" s="297"/>
      <c r="G278" s="166"/>
      <c r="H278" s="201"/>
      <c r="I278" s="201"/>
      <c r="J278" s="201"/>
      <c r="K278" s="201"/>
      <c r="L278" s="160"/>
      <c r="M278"/>
      <c r="N278"/>
      <c r="O278" s="550"/>
      <c r="P278"/>
      <c r="Q278"/>
    </row>
    <row r="279" spans="1:17" s="69" customFormat="1" ht="13.95" customHeight="1" x14ac:dyDescent="0.3">
      <c r="A279" s="247"/>
      <c r="B279" s="24" t="s">
        <v>470</v>
      </c>
      <c r="C279" s="79" t="s">
        <v>33</v>
      </c>
      <c r="D279" s="79">
        <v>1.03</v>
      </c>
      <c r="E279" s="58"/>
      <c r="F279" s="297"/>
      <c r="G279" s="56"/>
      <c r="H279" s="58"/>
      <c r="I279" s="58"/>
      <c r="J279" s="58"/>
      <c r="K279" s="58"/>
      <c r="L279" s="57"/>
      <c r="O279" s="432"/>
    </row>
    <row r="280" spans="1:17" s="69" customFormat="1" ht="13.95" customHeight="1" thickBot="1" x14ac:dyDescent="0.35">
      <c r="A280" s="279"/>
      <c r="B280" s="98" t="s">
        <v>14</v>
      </c>
      <c r="C280" s="141" t="s">
        <v>15</v>
      </c>
      <c r="D280" s="141">
        <v>1</v>
      </c>
      <c r="E280" s="142"/>
      <c r="F280" s="313"/>
      <c r="G280" s="143"/>
      <c r="H280" s="142"/>
      <c r="I280" s="142"/>
      <c r="J280" s="142"/>
      <c r="K280" s="142"/>
      <c r="L280" s="144"/>
      <c r="O280" s="432"/>
    </row>
    <row r="281" spans="1:17" s="69" customFormat="1" ht="27.6" x14ac:dyDescent="0.3">
      <c r="A281" s="555">
        <v>2</v>
      </c>
      <c r="B281" s="137" t="s">
        <v>219</v>
      </c>
      <c r="C281" s="134" t="s">
        <v>33</v>
      </c>
      <c r="D281" s="134"/>
      <c r="E281" s="138">
        <f>E272</f>
        <v>164.8</v>
      </c>
      <c r="F281" s="312"/>
      <c r="G281" s="138"/>
      <c r="H281" s="138"/>
      <c r="I281" s="138"/>
      <c r="J281" s="138"/>
      <c r="K281" s="138"/>
      <c r="L281" s="139"/>
      <c r="O281" s="432"/>
    </row>
    <row r="282" spans="1:17" s="69" customFormat="1" ht="13.95" customHeight="1" x14ac:dyDescent="0.3">
      <c r="A282" s="247"/>
      <c r="B282" s="24" t="s">
        <v>8</v>
      </c>
      <c r="C282" s="79" t="s">
        <v>33</v>
      </c>
      <c r="D282" s="79">
        <v>1</v>
      </c>
      <c r="E282" s="58"/>
      <c r="F282" s="297"/>
      <c r="G282" s="58"/>
      <c r="H282" s="58"/>
      <c r="I282" s="58"/>
      <c r="J282" s="58"/>
      <c r="K282" s="58"/>
      <c r="L282" s="57"/>
      <c r="O282" s="432"/>
    </row>
    <row r="283" spans="1:17" s="69" customFormat="1" ht="13.95" customHeight="1" x14ac:dyDescent="0.3">
      <c r="A283" s="247"/>
      <c r="B283" s="24" t="s">
        <v>10</v>
      </c>
      <c r="C283" s="79" t="s">
        <v>15</v>
      </c>
      <c r="D283" s="79">
        <v>1.7000000000000001E-2</v>
      </c>
      <c r="E283" s="58"/>
      <c r="F283" s="297"/>
      <c r="G283" s="58"/>
      <c r="H283" s="58"/>
      <c r="I283" s="58"/>
      <c r="J283" s="58"/>
      <c r="K283" s="58"/>
      <c r="L283" s="57"/>
      <c r="O283" s="432"/>
    </row>
    <row r="284" spans="1:17" s="69" customFormat="1" ht="13.95" customHeight="1" x14ac:dyDescent="0.3">
      <c r="A284" s="247"/>
      <c r="B284" s="24" t="s">
        <v>12</v>
      </c>
      <c r="C284" s="79"/>
      <c r="D284" s="79"/>
      <c r="E284" s="58"/>
      <c r="F284" s="297"/>
      <c r="G284" s="58"/>
      <c r="H284" s="58"/>
      <c r="I284" s="58"/>
      <c r="J284" s="58"/>
      <c r="K284" s="58"/>
      <c r="L284" s="57"/>
      <c r="O284" s="432"/>
    </row>
    <row r="285" spans="1:17" s="69" customFormat="1" ht="42.75" customHeight="1" x14ac:dyDescent="0.3">
      <c r="A285" s="247"/>
      <c r="B285" s="24" t="s">
        <v>214</v>
      </c>
      <c r="C285" s="79" t="s">
        <v>13</v>
      </c>
      <c r="D285" s="79">
        <v>3.3</v>
      </c>
      <c r="E285" s="58"/>
      <c r="F285" s="297"/>
      <c r="G285" s="56"/>
      <c r="H285" s="58"/>
      <c r="I285" s="58"/>
      <c r="J285" s="58"/>
      <c r="K285" s="58"/>
      <c r="L285" s="57"/>
      <c r="M285" s="126"/>
      <c r="O285" s="432"/>
    </row>
    <row r="286" spans="1:17" s="69" customFormat="1" ht="13.95" customHeight="1" thickBot="1" x14ac:dyDescent="0.35">
      <c r="A286" s="279"/>
      <c r="B286" s="98" t="s">
        <v>14</v>
      </c>
      <c r="C286" s="141" t="s">
        <v>15</v>
      </c>
      <c r="D286" s="141">
        <v>0.22</v>
      </c>
      <c r="E286" s="142"/>
      <c r="F286" s="313"/>
      <c r="G286" s="143"/>
      <c r="H286" s="142"/>
      <c r="I286" s="142"/>
      <c r="J286" s="142"/>
      <c r="K286" s="142"/>
      <c r="L286" s="144"/>
      <c r="O286" s="432"/>
    </row>
    <row r="287" spans="1:17" s="69" customFormat="1" ht="27.75" customHeight="1" x14ac:dyDescent="0.3">
      <c r="A287" s="97">
        <v>3</v>
      </c>
      <c r="B287" s="137" t="s">
        <v>298</v>
      </c>
      <c r="C287" s="134" t="s">
        <v>33</v>
      </c>
      <c r="D287" s="134"/>
      <c r="E287" s="138">
        <f>E281</f>
        <v>164.8</v>
      </c>
      <c r="F287" s="312"/>
      <c r="G287" s="138"/>
      <c r="H287" s="138"/>
      <c r="I287" s="138"/>
      <c r="J287" s="138"/>
      <c r="K287" s="138"/>
      <c r="L287" s="139"/>
      <c r="O287" s="432"/>
    </row>
    <row r="288" spans="1:17" s="69" customFormat="1" ht="13.95" customHeight="1" x14ac:dyDescent="0.3">
      <c r="A288" s="247"/>
      <c r="B288" s="24" t="s">
        <v>8</v>
      </c>
      <c r="C288" s="79" t="s">
        <v>33</v>
      </c>
      <c r="D288" s="79">
        <v>1</v>
      </c>
      <c r="E288" s="58"/>
      <c r="F288" s="297"/>
      <c r="G288" s="58"/>
      <c r="H288" s="58"/>
      <c r="I288" s="58"/>
      <c r="J288" s="58"/>
      <c r="K288" s="58"/>
      <c r="L288" s="57"/>
      <c r="O288" s="432"/>
    </row>
    <row r="289" spans="1:17" s="69" customFormat="1" ht="13.95" customHeight="1" x14ac:dyDescent="0.3">
      <c r="A289" s="247"/>
      <c r="B289" s="24" t="s">
        <v>12</v>
      </c>
      <c r="C289" s="79"/>
      <c r="D289" s="79"/>
      <c r="E289" s="58"/>
      <c r="F289" s="297"/>
      <c r="G289" s="58"/>
      <c r="H289" s="58"/>
      <c r="I289" s="58"/>
      <c r="J289" s="58"/>
      <c r="K289" s="58"/>
      <c r="L289" s="57"/>
    </row>
    <row r="290" spans="1:17" s="69" customFormat="1" ht="13.95" customHeight="1" thickBot="1" x14ac:dyDescent="0.35">
      <c r="A290" s="279"/>
      <c r="B290" s="98" t="s">
        <v>292</v>
      </c>
      <c r="C290" s="79" t="s">
        <v>33</v>
      </c>
      <c r="D290" s="141">
        <v>1.02</v>
      </c>
      <c r="E290" s="142"/>
      <c r="F290" s="313"/>
      <c r="G290" s="143"/>
      <c r="H290" s="142"/>
      <c r="I290" s="142"/>
      <c r="J290" s="142"/>
      <c r="K290" s="142"/>
      <c r="L290" s="144"/>
    </row>
    <row r="291" spans="1:17" s="69" customFormat="1" ht="27.75" customHeight="1" x14ac:dyDescent="0.3">
      <c r="A291" s="97">
        <v>4</v>
      </c>
      <c r="B291" s="137" t="s">
        <v>447</v>
      </c>
      <c r="C291" s="134" t="s">
        <v>33</v>
      </c>
      <c r="D291" s="134"/>
      <c r="E291" s="138">
        <f>E272</f>
        <v>164.8</v>
      </c>
      <c r="F291" s="312"/>
      <c r="G291" s="138"/>
      <c r="H291" s="138"/>
      <c r="I291" s="138"/>
      <c r="J291" s="138"/>
      <c r="K291" s="138"/>
      <c r="L291" s="139"/>
    </row>
    <row r="292" spans="1:17" s="69" customFormat="1" ht="13.95" customHeight="1" x14ac:dyDescent="0.3">
      <c r="A292" s="247"/>
      <c r="B292" s="24" t="s">
        <v>8</v>
      </c>
      <c r="C292" s="79" t="s">
        <v>33</v>
      </c>
      <c r="D292" s="79">
        <v>1</v>
      </c>
      <c r="E292" s="58"/>
      <c r="F292" s="297"/>
      <c r="G292" s="58"/>
      <c r="H292" s="58"/>
      <c r="I292" s="58"/>
      <c r="J292" s="58"/>
      <c r="K292" s="58"/>
      <c r="L292" s="57"/>
    </row>
    <row r="293" spans="1:17" s="69" customFormat="1" ht="13.95" customHeight="1" x14ac:dyDescent="0.3">
      <c r="A293" s="247"/>
      <c r="B293" s="24" t="s">
        <v>12</v>
      </c>
      <c r="C293" s="79"/>
      <c r="D293" s="79"/>
      <c r="E293" s="58"/>
      <c r="F293" s="297"/>
      <c r="G293" s="58"/>
      <c r="H293" s="58"/>
      <c r="I293" s="58"/>
      <c r="J293" s="58"/>
      <c r="K293" s="58"/>
      <c r="L293" s="57"/>
    </row>
    <row r="294" spans="1:17" s="69" customFormat="1" ht="13.95" customHeight="1" x14ac:dyDescent="0.3">
      <c r="A294" s="247"/>
      <c r="B294" s="24" t="s">
        <v>122</v>
      </c>
      <c r="C294" s="79" t="s">
        <v>27</v>
      </c>
      <c r="D294" s="218">
        <f>189/2/100*1.02</f>
        <v>0.96389999999999998</v>
      </c>
      <c r="E294" s="58"/>
      <c r="F294" s="297"/>
      <c r="G294" s="56"/>
      <c r="H294" s="58"/>
      <c r="I294" s="58"/>
      <c r="J294" s="58"/>
      <c r="K294" s="58"/>
      <c r="L294" s="57"/>
    </row>
    <row r="295" spans="1:17" s="158" customFormat="1" ht="18" thickBot="1" x14ac:dyDescent="0.35">
      <c r="A295" s="279"/>
      <c r="B295" s="280" t="s">
        <v>231</v>
      </c>
      <c r="C295" s="250" t="s">
        <v>236</v>
      </c>
      <c r="D295" s="141">
        <v>1.05</v>
      </c>
      <c r="E295" s="142"/>
      <c r="F295" s="313"/>
      <c r="G295" s="142"/>
      <c r="H295" s="142"/>
      <c r="I295" s="142"/>
      <c r="J295" s="142"/>
      <c r="K295" s="142"/>
      <c r="L295" s="144"/>
    </row>
    <row r="296" spans="1:17" s="69" customFormat="1" ht="29.25" customHeight="1" x14ac:dyDescent="0.3">
      <c r="A296" s="97">
        <v>5</v>
      </c>
      <c r="B296" s="137" t="s">
        <v>293</v>
      </c>
      <c r="C296" s="134" t="s">
        <v>33</v>
      </c>
      <c r="D296" s="134"/>
      <c r="E296" s="138">
        <v>164.8</v>
      </c>
      <c r="F296" s="312"/>
      <c r="G296" s="138"/>
      <c r="H296" s="138"/>
      <c r="I296" s="138"/>
      <c r="J296" s="138"/>
      <c r="K296" s="138"/>
      <c r="L296" s="139"/>
      <c r="N296" s="118"/>
    </row>
    <row r="297" spans="1:17" s="69" customFormat="1" ht="13.95" customHeight="1" x14ac:dyDescent="0.3">
      <c r="A297" s="247"/>
      <c r="B297" s="24" t="s">
        <v>8</v>
      </c>
      <c r="C297" s="79" t="s">
        <v>33</v>
      </c>
      <c r="D297" s="79">
        <v>1</v>
      </c>
      <c r="E297" s="58"/>
      <c r="F297" s="297"/>
      <c r="G297" s="58"/>
      <c r="H297" s="58"/>
      <c r="I297" s="58"/>
      <c r="J297" s="58"/>
      <c r="K297" s="58"/>
      <c r="L297" s="57"/>
    </row>
    <row r="298" spans="1:17" s="69" customFormat="1" ht="13.95" customHeight="1" x14ac:dyDescent="0.3">
      <c r="A298" s="247"/>
      <c r="B298" s="24" t="s">
        <v>10</v>
      </c>
      <c r="C298" s="79" t="s">
        <v>15</v>
      </c>
      <c r="D298" s="180">
        <v>1</v>
      </c>
      <c r="E298" s="58"/>
      <c r="F298" s="297"/>
      <c r="G298" s="58"/>
      <c r="H298" s="58"/>
      <c r="I298" s="58"/>
      <c r="J298" s="58"/>
      <c r="K298" s="58"/>
      <c r="L298" s="57"/>
    </row>
    <row r="299" spans="1:17" s="69" customFormat="1" ht="13.95" customHeight="1" x14ac:dyDescent="0.3">
      <c r="A299" s="247"/>
      <c r="B299" s="24" t="s">
        <v>12</v>
      </c>
      <c r="C299" s="79"/>
      <c r="D299" s="79"/>
      <c r="E299" s="58"/>
      <c r="F299" s="297"/>
      <c r="G299" s="58"/>
      <c r="H299" s="58"/>
      <c r="I299" s="58"/>
      <c r="J299" s="58"/>
      <c r="K299" s="58"/>
      <c r="L299" s="57"/>
    </row>
    <row r="300" spans="1:17" s="184" customFormat="1" ht="18" customHeight="1" x14ac:dyDescent="0.3">
      <c r="A300" s="120"/>
      <c r="B300" s="24" t="s">
        <v>269</v>
      </c>
      <c r="C300" s="121" t="s">
        <v>27</v>
      </c>
      <c r="D300" s="79">
        <f>(2.04+0.51*10)/100</f>
        <v>7.1399999999999991E-2</v>
      </c>
      <c r="E300" s="122"/>
      <c r="F300" s="649"/>
      <c r="G300" s="166"/>
      <c r="H300" s="165"/>
      <c r="I300" s="165"/>
      <c r="J300" s="165"/>
      <c r="K300" s="165"/>
      <c r="L300" s="160"/>
      <c r="M300"/>
      <c r="N300"/>
      <c r="O300"/>
      <c r="P300"/>
      <c r="Q300"/>
    </row>
    <row r="301" spans="1:17" s="184" customFormat="1" ht="18" customHeight="1" x14ac:dyDescent="0.3">
      <c r="A301" s="272"/>
      <c r="B301" s="24" t="s">
        <v>122</v>
      </c>
      <c r="C301" s="273" t="s">
        <v>27</v>
      </c>
      <c r="D301" s="218">
        <f>0.07*1.23</f>
        <v>8.610000000000001E-2</v>
      </c>
      <c r="E301" s="274"/>
      <c r="F301" s="297"/>
      <c r="G301" s="166"/>
      <c r="H301" s="201"/>
      <c r="I301" s="201"/>
      <c r="J301" s="201"/>
      <c r="K301" s="201"/>
      <c r="L301" s="160"/>
      <c r="M301"/>
      <c r="N301"/>
      <c r="O301"/>
      <c r="P301"/>
      <c r="Q301"/>
    </row>
    <row r="302" spans="1:17" s="184" customFormat="1" ht="18" customHeight="1" x14ac:dyDescent="0.3">
      <c r="A302" s="272"/>
      <c r="B302" s="24" t="s">
        <v>138</v>
      </c>
      <c r="C302" s="273" t="s">
        <v>228</v>
      </c>
      <c r="D302" s="218">
        <f>0.07*0.306</f>
        <v>2.1420000000000002E-2</v>
      </c>
      <c r="E302" s="274"/>
      <c r="F302" s="297"/>
      <c r="G302" s="166"/>
      <c r="H302" s="201"/>
      <c r="I302" s="201"/>
      <c r="J302" s="201"/>
      <c r="K302" s="201"/>
      <c r="L302" s="160"/>
      <c r="M302"/>
      <c r="N302"/>
      <c r="O302"/>
      <c r="P302"/>
      <c r="Q302"/>
    </row>
    <row r="303" spans="1:17" s="69" customFormat="1" ht="13.95" customHeight="1" x14ac:dyDescent="0.3">
      <c r="A303" s="247"/>
      <c r="B303" s="24" t="s">
        <v>470</v>
      </c>
      <c r="C303" s="79" t="s">
        <v>33</v>
      </c>
      <c r="D303" s="79">
        <v>1.03</v>
      </c>
      <c r="E303" s="58"/>
      <c r="F303" s="297"/>
      <c r="G303" s="56"/>
      <c r="H303" s="58"/>
      <c r="I303" s="58"/>
      <c r="J303" s="58"/>
      <c r="K303" s="58"/>
      <c r="L303" s="57"/>
    </row>
    <row r="304" spans="1:17" s="69" customFormat="1" ht="13.95" customHeight="1" thickBot="1" x14ac:dyDescent="0.35">
      <c r="A304" s="279"/>
      <c r="B304" s="98" t="s">
        <v>14</v>
      </c>
      <c r="C304" s="141" t="s">
        <v>15</v>
      </c>
      <c r="D304" s="141">
        <v>1</v>
      </c>
      <c r="E304" s="142"/>
      <c r="F304" s="313"/>
      <c r="G304" s="143"/>
      <c r="H304" s="142"/>
      <c r="I304" s="142"/>
      <c r="J304" s="142"/>
      <c r="K304" s="142"/>
      <c r="L304" s="144"/>
    </row>
    <row r="305" spans="1:13" s="69" customFormat="1" ht="27.6" x14ac:dyDescent="0.3">
      <c r="A305" s="555">
        <v>6</v>
      </c>
      <c r="B305" s="137" t="s">
        <v>219</v>
      </c>
      <c r="C305" s="134" t="s">
        <v>33</v>
      </c>
      <c r="D305" s="134"/>
      <c r="E305" s="138">
        <f>E296</f>
        <v>164.8</v>
      </c>
      <c r="F305" s="312"/>
      <c r="G305" s="138"/>
      <c r="H305" s="138"/>
      <c r="I305" s="138"/>
      <c r="J305" s="138"/>
      <c r="K305" s="138"/>
      <c r="L305" s="139"/>
    </row>
    <row r="306" spans="1:13" s="69" customFormat="1" ht="13.95" customHeight="1" x14ac:dyDescent="0.3">
      <c r="A306" s="247"/>
      <c r="B306" s="24" t="s">
        <v>8</v>
      </c>
      <c r="C306" s="79" t="s">
        <v>33</v>
      </c>
      <c r="D306" s="79">
        <v>1</v>
      </c>
      <c r="E306" s="58"/>
      <c r="F306" s="297"/>
      <c r="G306" s="58"/>
      <c r="H306" s="58"/>
      <c r="I306" s="58"/>
      <c r="J306" s="58"/>
      <c r="K306" s="58"/>
      <c r="L306" s="57"/>
    </row>
    <row r="307" spans="1:13" s="69" customFormat="1" ht="13.95" customHeight="1" x14ac:dyDescent="0.3">
      <c r="A307" s="247"/>
      <c r="B307" s="24" t="s">
        <v>10</v>
      </c>
      <c r="C307" s="79" t="s">
        <v>15</v>
      </c>
      <c r="D307" s="79">
        <v>1.7000000000000001E-2</v>
      </c>
      <c r="E307" s="58"/>
      <c r="F307" s="297"/>
      <c r="G307" s="58"/>
      <c r="H307" s="58"/>
      <c r="I307" s="58"/>
      <c r="J307" s="58"/>
      <c r="K307" s="58"/>
      <c r="L307" s="57"/>
    </row>
    <row r="308" spans="1:13" s="69" customFormat="1" ht="13.95" customHeight="1" x14ac:dyDescent="0.3">
      <c r="A308" s="247"/>
      <c r="B308" s="24" t="s">
        <v>12</v>
      </c>
      <c r="C308" s="79"/>
      <c r="D308" s="79"/>
      <c r="E308" s="58"/>
      <c r="F308" s="297"/>
      <c r="G308" s="58"/>
      <c r="H308" s="58"/>
      <c r="I308" s="58"/>
      <c r="J308" s="58"/>
      <c r="K308" s="58"/>
      <c r="L308" s="57"/>
    </row>
    <row r="309" spans="1:13" s="69" customFormat="1" ht="42.75" customHeight="1" x14ac:dyDescent="0.3">
      <c r="A309" s="247"/>
      <c r="B309" s="24" t="s">
        <v>214</v>
      </c>
      <c r="C309" s="79" t="s">
        <v>13</v>
      </c>
      <c r="D309" s="79">
        <v>3.3</v>
      </c>
      <c r="E309" s="58"/>
      <c r="F309" s="297"/>
      <c r="G309" s="56"/>
      <c r="H309" s="58"/>
      <c r="I309" s="58"/>
      <c r="J309" s="58"/>
      <c r="K309" s="58"/>
      <c r="L309" s="57"/>
      <c r="M309" s="126"/>
    </row>
    <row r="310" spans="1:13" s="69" customFormat="1" ht="13.95" customHeight="1" thickBot="1" x14ac:dyDescent="0.35">
      <c r="A310" s="279"/>
      <c r="B310" s="98" t="s">
        <v>14</v>
      </c>
      <c r="C310" s="141" t="s">
        <v>15</v>
      </c>
      <c r="D310" s="141">
        <v>0.22</v>
      </c>
      <c r="E310" s="142"/>
      <c r="F310" s="313"/>
      <c r="G310" s="143"/>
      <c r="H310" s="142"/>
      <c r="I310" s="142"/>
      <c r="J310" s="142"/>
      <c r="K310" s="142"/>
      <c r="L310" s="144"/>
    </row>
    <row r="311" spans="1:13" s="69" customFormat="1" ht="27.6" customHeight="1" x14ac:dyDescent="0.3">
      <c r="A311" s="97">
        <v>7</v>
      </c>
      <c r="B311" s="137" t="s">
        <v>294</v>
      </c>
      <c r="C311" s="134" t="s">
        <v>33</v>
      </c>
      <c r="D311" s="134"/>
      <c r="E311" s="138">
        <f>E305</f>
        <v>164.8</v>
      </c>
      <c r="F311" s="312"/>
      <c r="G311" s="138"/>
      <c r="H311" s="138"/>
      <c r="I311" s="138"/>
      <c r="J311" s="138"/>
      <c r="K311" s="138"/>
      <c r="L311" s="139"/>
    </row>
    <row r="312" spans="1:13" s="69" customFormat="1" ht="13.95" customHeight="1" x14ac:dyDescent="0.3">
      <c r="A312" s="247"/>
      <c r="B312" s="24" t="s">
        <v>8</v>
      </c>
      <c r="C312" s="79" t="s">
        <v>33</v>
      </c>
      <c r="D312" s="79">
        <v>1</v>
      </c>
      <c r="E312" s="58"/>
      <c r="F312" s="297"/>
      <c r="G312" s="56"/>
      <c r="H312" s="58"/>
      <c r="I312" s="58"/>
      <c r="J312" s="58"/>
      <c r="K312" s="58"/>
      <c r="L312" s="57"/>
    </row>
    <row r="313" spans="1:13" s="69" customFormat="1" ht="13.95" customHeight="1" x14ac:dyDescent="0.3">
      <c r="A313" s="247"/>
      <c r="B313" s="24" t="s">
        <v>10</v>
      </c>
      <c r="C313" s="79" t="s">
        <v>15</v>
      </c>
      <c r="D313" s="79">
        <f>0.08</f>
        <v>0.08</v>
      </c>
      <c r="E313" s="58"/>
      <c r="F313" s="297"/>
      <c r="G313" s="56"/>
      <c r="H313" s="58"/>
      <c r="I313" s="58"/>
      <c r="J313" s="58"/>
      <c r="K313" s="58"/>
      <c r="L313" s="57"/>
    </row>
    <row r="314" spans="1:13" s="69" customFormat="1" ht="13.95" customHeight="1" x14ac:dyDescent="0.3">
      <c r="A314" s="247"/>
      <c r="B314" s="24" t="s">
        <v>12</v>
      </c>
      <c r="C314" s="79"/>
      <c r="D314" s="79"/>
      <c r="E314" s="58"/>
      <c r="F314" s="297"/>
      <c r="G314" s="56"/>
      <c r="H314" s="58"/>
      <c r="I314" s="58"/>
      <c r="J314" s="58"/>
      <c r="K314" s="58"/>
      <c r="L314" s="57"/>
    </row>
    <row r="315" spans="1:13" s="69" customFormat="1" ht="13.95" customHeight="1" x14ac:dyDescent="0.3">
      <c r="A315" s="247"/>
      <c r="B315" s="24" t="s">
        <v>331</v>
      </c>
      <c r="C315" s="79" t="s">
        <v>33</v>
      </c>
      <c r="D315" s="79">
        <f>1.05</f>
        <v>1.05</v>
      </c>
      <c r="E315" s="58"/>
      <c r="F315" s="297"/>
      <c r="G315" s="56"/>
      <c r="H315" s="58"/>
      <c r="I315" s="58"/>
      <c r="J315" s="58"/>
      <c r="K315" s="58"/>
      <c r="L315" s="57"/>
    </row>
    <row r="316" spans="1:13" s="69" customFormat="1" ht="13.95" customHeight="1" x14ac:dyDescent="0.3">
      <c r="A316" s="247"/>
      <c r="B316" s="24" t="s">
        <v>328</v>
      </c>
      <c r="C316" s="79" t="s">
        <v>13</v>
      </c>
      <c r="D316" s="79">
        <v>5</v>
      </c>
      <c r="E316" s="58"/>
      <c r="F316" s="297"/>
      <c r="G316" s="56"/>
      <c r="H316" s="58"/>
      <c r="I316" s="58"/>
      <c r="J316" s="58"/>
      <c r="K316" s="58"/>
      <c r="L316" s="57"/>
    </row>
    <row r="317" spans="1:13" s="69" customFormat="1" ht="13.95" customHeight="1" x14ac:dyDescent="0.3">
      <c r="A317" s="247"/>
      <c r="B317" s="24" t="s">
        <v>39</v>
      </c>
      <c r="C317" s="79" t="s">
        <v>13</v>
      </c>
      <c r="D317" s="79">
        <v>0.15</v>
      </c>
      <c r="E317" s="58"/>
      <c r="F317" s="297"/>
      <c r="G317" s="56"/>
      <c r="H317" s="58"/>
      <c r="I317" s="58"/>
      <c r="J317" s="58"/>
      <c r="K317" s="58"/>
      <c r="L317" s="57"/>
    </row>
    <row r="318" spans="1:13" s="69" customFormat="1" ht="13.95" customHeight="1" thickBot="1" x14ac:dyDescent="0.35">
      <c r="A318" s="279"/>
      <c r="B318" s="98" t="s">
        <v>14</v>
      </c>
      <c r="C318" s="141" t="s">
        <v>15</v>
      </c>
      <c r="D318" s="141">
        <f>0.19</f>
        <v>0.19</v>
      </c>
      <c r="E318" s="142"/>
      <c r="F318" s="313"/>
      <c r="G318" s="143"/>
      <c r="H318" s="142"/>
      <c r="I318" s="142"/>
      <c r="J318" s="142"/>
      <c r="K318" s="142"/>
      <c r="L318" s="144"/>
    </row>
    <row r="319" spans="1:13" s="322" customFormat="1" ht="30" customHeight="1" x14ac:dyDescent="0.3">
      <c r="A319" s="570">
        <v>8</v>
      </c>
      <c r="B319" s="137" t="s">
        <v>314</v>
      </c>
      <c r="C319" s="206" t="s">
        <v>28</v>
      </c>
      <c r="D319" s="206"/>
      <c r="E319" s="138">
        <v>37.1</v>
      </c>
      <c r="F319" s="312"/>
      <c r="G319" s="138"/>
      <c r="H319" s="138"/>
      <c r="I319" s="138"/>
      <c r="J319" s="138"/>
      <c r="K319" s="138"/>
      <c r="L319" s="139"/>
    </row>
    <row r="320" spans="1:13" s="322" customFormat="1" ht="13.95" customHeight="1" x14ac:dyDescent="0.3">
      <c r="A320" s="571"/>
      <c r="B320" s="55" t="s">
        <v>8</v>
      </c>
      <c r="C320" s="323" t="s">
        <v>28</v>
      </c>
      <c r="D320" s="179">
        <v>1</v>
      </c>
      <c r="E320" s="56"/>
      <c r="F320" s="297"/>
      <c r="G320" s="56"/>
      <c r="H320" s="56"/>
      <c r="I320" s="56"/>
      <c r="J320" s="56"/>
      <c r="K320" s="56"/>
      <c r="L320" s="57"/>
    </row>
    <row r="321" spans="1:15" s="322" customFormat="1" ht="13.95" customHeight="1" x14ac:dyDescent="0.3">
      <c r="A321" s="571"/>
      <c r="B321" s="55" t="s">
        <v>10</v>
      </c>
      <c r="C321" s="179" t="s">
        <v>15</v>
      </c>
      <c r="D321" s="179">
        <v>1</v>
      </c>
      <c r="E321" s="56"/>
      <c r="F321" s="297"/>
      <c r="G321" s="56"/>
      <c r="H321" s="56"/>
      <c r="I321" s="56"/>
      <c r="J321" s="56"/>
      <c r="K321" s="56"/>
      <c r="L321" s="57"/>
    </row>
    <row r="322" spans="1:15" s="322" customFormat="1" ht="13.95" customHeight="1" x14ac:dyDescent="0.3">
      <c r="A322" s="571"/>
      <c r="B322" s="55" t="s">
        <v>12</v>
      </c>
      <c r="C322" s="179"/>
      <c r="D322" s="179"/>
      <c r="E322" s="56"/>
      <c r="F322" s="297"/>
      <c r="G322" s="56"/>
      <c r="H322" s="56"/>
      <c r="I322" s="56"/>
      <c r="J322" s="56"/>
      <c r="K322" s="56"/>
      <c r="L322" s="57"/>
    </row>
    <row r="323" spans="1:15" s="322" customFormat="1" ht="13.95" customHeight="1" x14ac:dyDescent="0.3">
      <c r="A323" s="571"/>
      <c r="B323" s="55" t="s">
        <v>273</v>
      </c>
      <c r="C323" s="179" t="s">
        <v>344</v>
      </c>
      <c r="D323" s="324">
        <f>1.015*0.298*0.15</f>
        <v>4.5370499999999994E-2</v>
      </c>
      <c r="E323" s="56"/>
      <c r="F323" s="297"/>
      <c r="G323" s="56"/>
      <c r="H323" s="56"/>
      <c r="I323" s="56"/>
      <c r="J323" s="56"/>
      <c r="K323" s="56"/>
      <c r="L323" s="57"/>
      <c r="M323" s="680"/>
      <c r="N323" s="681"/>
      <c r="O323" s="681"/>
    </row>
    <row r="324" spans="1:15" s="322" customFormat="1" ht="13.95" customHeight="1" x14ac:dyDescent="0.3">
      <c r="A324" s="571"/>
      <c r="B324" s="55" t="s">
        <v>316</v>
      </c>
      <c r="C324" s="179" t="s">
        <v>228</v>
      </c>
      <c r="D324" s="325">
        <f>1.44/1000</f>
        <v>1.4399999999999999E-3</v>
      </c>
      <c r="E324" s="56"/>
      <c r="F324" s="297"/>
      <c r="G324" s="56"/>
      <c r="H324" s="56"/>
      <c r="I324" s="56"/>
      <c r="J324" s="56"/>
      <c r="K324" s="56"/>
      <c r="L324" s="57"/>
      <c r="M324" s="680"/>
      <c r="N324" s="681"/>
      <c r="O324" s="681"/>
    </row>
    <row r="325" spans="1:15" s="322" customFormat="1" ht="13.95" customHeight="1" x14ac:dyDescent="0.3">
      <c r="A325" s="571"/>
      <c r="B325" s="55" t="s">
        <v>317</v>
      </c>
      <c r="C325" s="179" t="s">
        <v>228</v>
      </c>
      <c r="D325" s="325">
        <f>3.66/1000</f>
        <v>3.6600000000000001E-3</v>
      </c>
      <c r="E325" s="56"/>
      <c r="F325" s="297"/>
      <c r="G325" s="56"/>
      <c r="H325" s="56"/>
      <c r="I325" s="56"/>
      <c r="J325" s="56"/>
      <c r="K325" s="56"/>
      <c r="L325" s="57"/>
    </row>
    <row r="326" spans="1:15" s="322" customFormat="1" ht="13.95" customHeight="1" x14ac:dyDescent="0.3">
      <c r="A326" s="571"/>
      <c r="B326" s="55" t="s">
        <v>315</v>
      </c>
      <c r="C326" s="179" t="s">
        <v>344</v>
      </c>
      <c r="D326" s="324">
        <f>0.298*0.15</f>
        <v>4.4699999999999997E-2</v>
      </c>
      <c r="E326" s="56"/>
      <c r="F326" s="297"/>
      <c r="G326" s="56"/>
      <c r="H326" s="56"/>
      <c r="I326" s="56"/>
      <c r="J326" s="56"/>
      <c r="K326" s="56"/>
      <c r="L326" s="57"/>
    </row>
    <row r="327" spans="1:15" s="322" customFormat="1" ht="13.95" customHeight="1" thickBot="1" x14ac:dyDescent="0.35">
      <c r="A327" s="572"/>
      <c r="B327" s="326" t="s">
        <v>14</v>
      </c>
      <c r="C327" s="327" t="s">
        <v>15</v>
      </c>
      <c r="D327" s="327">
        <v>1</v>
      </c>
      <c r="E327" s="304"/>
      <c r="F327" s="653"/>
      <c r="G327" s="304"/>
      <c r="H327" s="304"/>
      <c r="I327" s="304"/>
      <c r="J327" s="304"/>
      <c r="K327" s="304"/>
      <c r="L327" s="305"/>
    </row>
    <row r="328" spans="1:15" s="69" customFormat="1" ht="14.4" customHeight="1" thickBot="1" x14ac:dyDescent="0.35">
      <c r="A328" s="566"/>
      <c r="B328" s="131" t="s">
        <v>446</v>
      </c>
      <c r="C328" s="131"/>
      <c r="D328" s="131"/>
      <c r="E328" s="132"/>
      <c r="F328" s="132"/>
      <c r="G328" s="132"/>
      <c r="H328" s="132"/>
      <c r="I328" s="132"/>
      <c r="J328" s="132"/>
      <c r="K328" s="132"/>
      <c r="L328" s="133"/>
    </row>
    <row r="329" spans="1:15" s="69" customFormat="1" ht="29.25" customHeight="1" x14ac:dyDescent="0.3">
      <c r="A329" s="97">
        <v>1</v>
      </c>
      <c r="B329" s="137" t="s">
        <v>270</v>
      </c>
      <c r="C329" s="134" t="s">
        <v>33</v>
      </c>
      <c r="D329" s="134"/>
      <c r="E329" s="312">
        <v>79.2</v>
      </c>
      <c r="F329" s="312"/>
      <c r="G329" s="138"/>
      <c r="H329" s="138"/>
      <c r="I329" s="138"/>
      <c r="J329" s="138"/>
      <c r="K329" s="138"/>
      <c r="L329" s="139"/>
    </row>
    <row r="330" spans="1:15" s="69" customFormat="1" ht="13.8" x14ac:dyDescent="0.3">
      <c r="A330" s="247"/>
      <c r="B330" s="24" t="s">
        <v>8</v>
      </c>
      <c r="C330" s="79" t="s">
        <v>33</v>
      </c>
      <c r="D330" s="79">
        <v>1</v>
      </c>
      <c r="E330" s="58"/>
      <c r="F330" s="297"/>
      <c r="G330" s="58"/>
      <c r="H330" s="58"/>
      <c r="I330" s="58"/>
      <c r="J330" s="58"/>
      <c r="K330" s="58"/>
      <c r="L330" s="57"/>
    </row>
    <row r="331" spans="1:15" s="69" customFormat="1" ht="13.8" x14ac:dyDescent="0.3">
      <c r="A331" s="247"/>
      <c r="B331" s="24" t="s">
        <v>10</v>
      </c>
      <c r="C331" s="79" t="s">
        <v>15</v>
      </c>
      <c r="D331" s="79">
        <v>1.7000000000000001E-2</v>
      </c>
      <c r="E331" s="58"/>
      <c r="F331" s="297"/>
      <c r="G331" s="58"/>
      <c r="H331" s="58"/>
      <c r="I331" s="58"/>
      <c r="J331" s="58"/>
      <c r="K331" s="58"/>
      <c r="L331" s="57"/>
    </row>
    <row r="332" spans="1:15" s="69" customFormat="1" ht="13.8" x14ac:dyDescent="0.3">
      <c r="A332" s="247"/>
      <c r="B332" s="24" t="s">
        <v>12</v>
      </c>
      <c r="C332" s="79"/>
      <c r="D332" s="79"/>
      <c r="E332" s="58"/>
      <c r="F332" s="297"/>
      <c r="G332" s="58"/>
      <c r="H332" s="58"/>
      <c r="I332" s="58"/>
      <c r="J332" s="58"/>
      <c r="K332" s="58"/>
      <c r="L332" s="57"/>
    </row>
    <row r="333" spans="1:15" s="69" customFormat="1" ht="27.6" x14ac:dyDescent="0.3">
      <c r="A333" s="247"/>
      <c r="B333" s="24" t="s">
        <v>330</v>
      </c>
      <c r="C333" s="79" t="s">
        <v>33</v>
      </c>
      <c r="D333" s="79">
        <v>1.05</v>
      </c>
      <c r="E333" s="58"/>
      <c r="F333" s="297"/>
      <c r="G333" s="56"/>
      <c r="H333" s="58"/>
      <c r="I333" s="58"/>
      <c r="J333" s="58"/>
      <c r="K333" s="58"/>
      <c r="L333" s="57"/>
    </row>
    <row r="334" spans="1:15" s="69" customFormat="1" thickBot="1" x14ac:dyDescent="0.35">
      <c r="A334" s="279"/>
      <c r="B334" s="98" t="s">
        <v>14</v>
      </c>
      <c r="C334" s="141" t="s">
        <v>15</v>
      </c>
      <c r="D334" s="141">
        <v>0.22</v>
      </c>
      <c r="E334" s="142"/>
      <c r="F334" s="313"/>
      <c r="G334" s="143"/>
      <c r="H334" s="142"/>
      <c r="I334" s="142"/>
      <c r="J334" s="142"/>
      <c r="K334" s="142"/>
      <c r="L334" s="144"/>
    </row>
    <row r="335" spans="1:15" s="158" customFormat="1" ht="27.75" customHeight="1" x14ac:dyDescent="0.3">
      <c r="A335" s="555">
        <v>2</v>
      </c>
      <c r="B335" s="137" t="s">
        <v>295</v>
      </c>
      <c r="C335" s="134" t="s">
        <v>33</v>
      </c>
      <c r="D335" s="161"/>
      <c r="E335" s="162">
        <f>E329</f>
        <v>79.2</v>
      </c>
      <c r="F335" s="163"/>
      <c r="G335" s="163"/>
      <c r="H335" s="163"/>
      <c r="I335" s="163"/>
      <c r="J335" s="163"/>
      <c r="K335" s="163"/>
      <c r="L335" s="164"/>
    </row>
    <row r="336" spans="1:15" s="158" customFormat="1" ht="13.8" x14ac:dyDescent="0.3">
      <c r="A336" s="247"/>
      <c r="B336" s="24" t="s">
        <v>8</v>
      </c>
      <c r="C336" s="79" t="s">
        <v>33</v>
      </c>
      <c r="D336" s="159">
        <v>1</v>
      </c>
      <c r="E336" s="159"/>
      <c r="F336" s="166"/>
      <c r="G336" s="165"/>
      <c r="H336" s="165"/>
      <c r="I336" s="165"/>
      <c r="J336" s="165"/>
      <c r="K336" s="165"/>
      <c r="L336" s="160"/>
    </row>
    <row r="337" spans="1:17" s="158" customFormat="1" ht="13.8" x14ac:dyDescent="0.3">
      <c r="A337" s="247"/>
      <c r="B337" s="24" t="s">
        <v>10</v>
      </c>
      <c r="C337" s="79" t="s">
        <v>15</v>
      </c>
      <c r="D337" s="159">
        <v>1.7000000000000001E-2</v>
      </c>
      <c r="E337" s="159"/>
      <c r="F337" s="166"/>
      <c r="G337" s="165"/>
      <c r="H337" s="165"/>
      <c r="I337" s="165"/>
      <c r="J337" s="58"/>
      <c r="K337" s="165"/>
      <c r="L337" s="160"/>
    </row>
    <row r="338" spans="1:17" s="158" customFormat="1" ht="13.8" x14ac:dyDescent="0.3">
      <c r="A338" s="247"/>
      <c r="B338" s="24" t="s">
        <v>12</v>
      </c>
      <c r="C338" s="79"/>
      <c r="D338" s="159"/>
      <c r="E338" s="159"/>
      <c r="F338" s="166"/>
      <c r="G338" s="165"/>
      <c r="H338" s="165"/>
      <c r="I338" s="165"/>
      <c r="J338" s="165"/>
      <c r="K338" s="165"/>
      <c r="L338" s="160"/>
    </row>
    <row r="339" spans="1:17" s="158" customFormat="1" ht="27.6" x14ac:dyDescent="0.3">
      <c r="A339" s="247"/>
      <c r="B339" s="24" t="s">
        <v>226</v>
      </c>
      <c r="C339" s="79" t="s">
        <v>33</v>
      </c>
      <c r="D339" s="159">
        <v>1.1100000000000001</v>
      </c>
      <c r="E339" s="159"/>
      <c r="F339" s="166"/>
      <c r="G339" s="166"/>
      <c r="H339" s="165"/>
      <c r="I339" s="165"/>
      <c r="J339" s="165"/>
      <c r="K339" s="165"/>
      <c r="L339" s="160"/>
    </row>
    <row r="340" spans="1:17" s="158" customFormat="1" thickBot="1" x14ac:dyDescent="0.35">
      <c r="A340" s="247"/>
      <c r="B340" s="24" t="s">
        <v>14</v>
      </c>
      <c r="C340" s="79" t="s">
        <v>15</v>
      </c>
      <c r="D340" s="159">
        <v>0.22</v>
      </c>
      <c r="E340" s="159"/>
      <c r="F340" s="313"/>
      <c r="G340" s="166"/>
      <c r="H340" s="165"/>
      <c r="I340" s="165"/>
      <c r="J340" s="165"/>
      <c r="K340" s="165"/>
      <c r="L340" s="160"/>
    </row>
    <row r="341" spans="1:17" s="158" customFormat="1" ht="27.75" customHeight="1" x14ac:dyDescent="0.3">
      <c r="A341" s="555">
        <v>3</v>
      </c>
      <c r="B341" s="137" t="s">
        <v>220</v>
      </c>
      <c r="C341" s="134" t="s">
        <v>33</v>
      </c>
      <c r="D341" s="161"/>
      <c r="E341" s="162">
        <f>E349</f>
        <v>0</v>
      </c>
      <c r="F341" s="163"/>
      <c r="G341" s="163"/>
      <c r="H341" s="163"/>
      <c r="I341" s="163"/>
      <c r="J341" s="163"/>
      <c r="K341" s="163"/>
      <c r="L341" s="164"/>
    </row>
    <row r="342" spans="1:17" s="158" customFormat="1" ht="13.8" x14ac:dyDescent="0.3">
      <c r="A342" s="247"/>
      <c r="B342" s="24" t="s">
        <v>8</v>
      </c>
      <c r="C342" s="79" t="s">
        <v>33</v>
      </c>
      <c r="D342" s="159">
        <v>1</v>
      </c>
      <c r="E342" s="159"/>
      <c r="F342" s="166"/>
      <c r="G342" s="165"/>
      <c r="H342" s="165"/>
      <c r="I342" s="165"/>
      <c r="J342" s="165"/>
      <c r="K342" s="165"/>
      <c r="L342" s="160"/>
    </row>
    <row r="343" spans="1:17" s="158" customFormat="1" ht="13.8" x14ac:dyDescent="0.3">
      <c r="A343" s="247"/>
      <c r="B343" s="24" t="s">
        <v>10</v>
      </c>
      <c r="C343" s="79" t="s">
        <v>15</v>
      </c>
      <c r="D343" s="159">
        <v>1.7000000000000001E-2</v>
      </c>
      <c r="E343" s="159"/>
      <c r="F343" s="166"/>
      <c r="G343" s="165"/>
      <c r="H343" s="165"/>
      <c r="I343" s="165"/>
      <c r="J343" s="58"/>
      <c r="K343" s="165"/>
      <c r="L343" s="160"/>
    </row>
    <row r="344" spans="1:17" s="158" customFormat="1" ht="13.8" x14ac:dyDescent="0.3">
      <c r="A344" s="247"/>
      <c r="B344" s="24" t="s">
        <v>12</v>
      </c>
      <c r="C344" s="79"/>
      <c r="D344" s="159"/>
      <c r="E344" s="159"/>
      <c r="F344" s="166"/>
      <c r="G344" s="165"/>
      <c r="H344" s="165"/>
      <c r="I344" s="165"/>
      <c r="J344" s="165"/>
      <c r="K344" s="165"/>
      <c r="L344" s="160"/>
    </row>
    <row r="345" spans="1:17" s="158" customFormat="1" ht="13.8" x14ac:dyDescent="0.3">
      <c r="A345" s="247"/>
      <c r="B345" s="24" t="s">
        <v>215</v>
      </c>
      <c r="C345" s="79" t="s">
        <v>33</v>
      </c>
      <c r="D345" s="159">
        <v>1.05</v>
      </c>
      <c r="E345" s="159"/>
      <c r="F345" s="166"/>
      <c r="G345" s="166"/>
      <c r="H345" s="165"/>
      <c r="I345" s="165"/>
      <c r="J345" s="165"/>
      <c r="K345" s="165"/>
      <c r="L345" s="160"/>
    </row>
    <row r="346" spans="1:17" s="158" customFormat="1" ht="17.399999999999999" x14ac:dyDescent="0.3">
      <c r="A346" s="247"/>
      <c r="B346" s="248" t="s">
        <v>231</v>
      </c>
      <c r="C346" s="249" t="s">
        <v>236</v>
      </c>
      <c r="D346" s="79">
        <v>1.05</v>
      </c>
      <c r="E346" s="58"/>
      <c r="F346" s="297"/>
      <c r="G346" s="58"/>
      <c r="H346" s="58"/>
      <c r="I346" s="58"/>
      <c r="J346" s="58"/>
      <c r="K346" s="58"/>
      <c r="L346" s="57"/>
    </row>
    <row r="347" spans="1:17" s="158" customFormat="1" thickBot="1" x14ac:dyDescent="0.35">
      <c r="A347" s="401"/>
      <c r="B347" s="98" t="s">
        <v>14</v>
      </c>
      <c r="C347" s="141" t="s">
        <v>15</v>
      </c>
      <c r="D347" s="168">
        <v>0.06</v>
      </c>
      <c r="E347" s="168"/>
      <c r="F347" s="313"/>
      <c r="G347" s="169"/>
      <c r="H347" s="170"/>
      <c r="I347" s="170"/>
      <c r="J347" s="170"/>
      <c r="K347" s="170"/>
      <c r="L347" s="171"/>
    </row>
    <row r="348" spans="1:17" s="69" customFormat="1" ht="29.25" customHeight="1" x14ac:dyDescent="0.3">
      <c r="A348" s="97">
        <v>4</v>
      </c>
      <c r="B348" s="137" t="s">
        <v>296</v>
      </c>
      <c r="C348" s="134" t="s">
        <v>33</v>
      </c>
      <c r="D348" s="134"/>
      <c r="E348" s="138">
        <v>79.2</v>
      </c>
      <c r="F348" s="312"/>
      <c r="G348" s="138"/>
      <c r="H348" s="138"/>
      <c r="I348" s="138"/>
      <c r="J348" s="138"/>
      <c r="K348" s="138"/>
      <c r="L348" s="139"/>
    </row>
    <row r="349" spans="1:17" s="69" customFormat="1" ht="13.95" customHeight="1" x14ac:dyDescent="0.3">
      <c r="A349" s="247"/>
      <c r="B349" s="24" t="s">
        <v>8</v>
      </c>
      <c r="C349" s="79" t="s">
        <v>33</v>
      </c>
      <c r="D349" s="79">
        <v>1</v>
      </c>
      <c r="E349" s="58"/>
      <c r="F349" s="297"/>
      <c r="G349" s="58"/>
      <c r="H349" s="58"/>
      <c r="I349" s="58"/>
      <c r="J349" s="58"/>
      <c r="K349" s="58"/>
      <c r="L349" s="57"/>
      <c r="N349" s="118"/>
    </row>
    <row r="350" spans="1:17" s="69" customFormat="1" ht="13.95" customHeight="1" x14ac:dyDescent="0.3">
      <c r="A350" s="247"/>
      <c r="B350" s="24" t="s">
        <v>10</v>
      </c>
      <c r="C350" s="79" t="s">
        <v>15</v>
      </c>
      <c r="D350" s="180">
        <v>1</v>
      </c>
      <c r="E350" s="58"/>
      <c r="F350" s="297"/>
      <c r="G350" s="58"/>
      <c r="H350" s="58"/>
      <c r="I350" s="58"/>
      <c r="J350" s="58"/>
      <c r="K350" s="58"/>
      <c r="L350" s="57"/>
    </row>
    <row r="351" spans="1:17" s="69" customFormat="1" ht="13.95" customHeight="1" x14ac:dyDescent="0.3">
      <c r="A351" s="247"/>
      <c r="B351" s="24" t="s">
        <v>12</v>
      </c>
      <c r="C351" s="79"/>
      <c r="D351" s="79"/>
      <c r="E351" s="58"/>
      <c r="F351" s="297"/>
      <c r="G351" s="58"/>
      <c r="H351" s="58"/>
      <c r="I351" s="58"/>
      <c r="J351" s="58"/>
      <c r="K351" s="58"/>
      <c r="L351" s="57"/>
    </row>
    <row r="352" spans="1:17" s="184" customFormat="1" ht="18" customHeight="1" x14ac:dyDescent="0.3">
      <c r="A352" s="120"/>
      <c r="B352" s="24" t="s">
        <v>269</v>
      </c>
      <c r="C352" s="121" t="s">
        <v>27</v>
      </c>
      <c r="D352" s="79">
        <f>(2.04+0.51*8)/100</f>
        <v>6.1200000000000004E-2</v>
      </c>
      <c r="E352" s="122"/>
      <c r="F352" s="649"/>
      <c r="G352" s="166"/>
      <c r="H352" s="165"/>
      <c r="I352" s="165"/>
      <c r="J352" s="165"/>
      <c r="K352" s="165"/>
      <c r="L352" s="160"/>
      <c r="M352"/>
      <c r="N352"/>
      <c r="O352"/>
      <c r="P352"/>
      <c r="Q352"/>
    </row>
    <row r="353" spans="1:17" s="184" customFormat="1" ht="18" customHeight="1" x14ac:dyDescent="0.3">
      <c r="A353" s="272"/>
      <c r="B353" s="24" t="s">
        <v>122</v>
      </c>
      <c r="C353" s="273" t="s">
        <v>27</v>
      </c>
      <c r="D353" s="218">
        <f>0.059*1.23</f>
        <v>7.2569999999999996E-2</v>
      </c>
      <c r="E353" s="274"/>
      <c r="F353" s="297"/>
      <c r="G353" s="166"/>
      <c r="H353" s="201"/>
      <c r="I353" s="201"/>
      <c r="J353" s="201"/>
      <c r="K353" s="201"/>
      <c r="L353" s="160"/>
      <c r="M353"/>
      <c r="N353"/>
      <c r="O353"/>
      <c r="P353"/>
      <c r="Q353"/>
    </row>
    <row r="354" spans="1:17" s="184" customFormat="1" ht="18" customHeight="1" x14ac:dyDescent="0.3">
      <c r="A354" s="272"/>
      <c r="B354" s="24" t="s">
        <v>138</v>
      </c>
      <c r="C354" s="273" t="s">
        <v>228</v>
      </c>
      <c r="D354" s="218">
        <f>0.059*0.306</f>
        <v>1.8053999999999997E-2</v>
      </c>
      <c r="E354" s="274"/>
      <c r="F354" s="297"/>
      <c r="G354" s="166"/>
      <c r="H354" s="201"/>
      <c r="I354" s="201"/>
      <c r="J354" s="201"/>
      <c r="K354" s="201"/>
      <c r="L354" s="160"/>
      <c r="M354"/>
      <c r="N354"/>
      <c r="O354"/>
      <c r="P354"/>
      <c r="Q354"/>
    </row>
    <row r="355" spans="1:17" s="69" customFormat="1" ht="13.95" customHeight="1" x14ac:dyDescent="0.3">
      <c r="A355" s="247"/>
      <c r="B355" s="24" t="s">
        <v>470</v>
      </c>
      <c r="C355" s="79" t="s">
        <v>33</v>
      </c>
      <c r="D355" s="79">
        <v>1.03</v>
      </c>
      <c r="E355" s="58"/>
      <c r="F355" s="297"/>
      <c r="G355" s="56"/>
      <c r="H355" s="58"/>
      <c r="I355" s="58"/>
      <c r="J355" s="58"/>
      <c r="K355" s="58"/>
      <c r="L355" s="57"/>
    </row>
    <row r="356" spans="1:17" s="69" customFormat="1" ht="13.95" customHeight="1" thickBot="1" x14ac:dyDescent="0.35">
      <c r="A356" s="279"/>
      <c r="B356" s="98" t="s">
        <v>14</v>
      </c>
      <c r="C356" s="141" t="s">
        <v>15</v>
      </c>
      <c r="D356" s="141">
        <v>1</v>
      </c>
      <c r="E356" s="142"/>
      <c r="F356" s="313"/>
      <c r="G356" s="143"/>
      <c r="H356" s="142"/>
      <c r="I356" s="142"/>
      <c r="J356" s="142"/>
      <c r="K356" s="142"/>
      <c r="L356" s="144"/>
    </row>
    <row r="357" spans="1:17" s="69" customFormat="1" ht="27.6" x14ac:dyDescent="0.3">
      <c r="A357" s="555">
        <v>5</v>
      </c>
      <c r="B357" s="137" t="s">
        <v>219</v>
      </c>
      <c r="C357" s="134" t="s">
        <v>33</v>
      </c>
      <c r="D357" s="134"/>
      <c r="E357" s="138">
        <f>E348</f>
        <v>79.2</v>
      </c>
      <c r="F357" s="312"/>
      <c r="G357" s="138"/>
      <c r="H357" s="138"/>
      <c r="I357" s="138"/>
      <c r="J357" s="138"/>
      <c r="K357" s="138"/>
      <c r="L357" s="139"/>
    </row>
    <row r="358" spans="1:17" s="69" customFormat="1" ht="13.95" customHeight="1" x14ac:dyDescent="0.3">
      <c r="A358" s="247"/>
      <c r="B358" s="24" t="s">
        <v>8</v>
      </c>
      <c r="C358" s="79" t="s">
        <v>33</v>
      </c>
      <c r="D358" s="79">
        <v>1</v>
      </c>
      <c r="E358" s="58"/>
      <c r="F358" s="297"/>
      <c r="G358" s="58"/>
      <c r="H358" s="58"/>
      <c r="I358" s="58"/>
      <c r="J358" s="58"/>
      <c r="K358" s="58"/>
      <c r="L358" s="57"/>
    </row>
    <row r="359" spans="1:17" s="69" customFormat="1" ht="13.95" customHeight="1" x14ac:dyDescent="0.3">
      <c r="A359" s="247"/>
      <c r="B359" s="24" t="s">
        <v>10</v>
      </c>
      <c r="C359" s="79" t="s">
        <v>15</v>
      </c>
      <c r="D359" s="79">
        <v>1.7000000000000001E-2</v>
      </c>
      <c r="E359" s="58"/>
      <c r="F359" s="297"/>
      <c r="G359" s="58"/>
      <c r="H359" s="58"/>
      <c r="I359" s="58"/>
      <c r="J359" s="58"/>
      <c r="K359" s="58"/>
      <c r="L359" s="57"/>
    </row>
    <row r="360" spans="1:17" s="69" customFormat="1" ht="13.95" customHeight="1" x14ac:dyDescent="0.3">
      <c r="A360" s="247"/>
      <c r="B360" s="24" t="s">
        <v>12</v>
      </c>
      <c r="C360" s="79"/>
      <c r="D360" s="79"/>
      <c r="E360" s="58"/>
      <c r="F360" s="297"/>
      <c r="G360" s="58"/>
      <c r="H360" s="58"/>
      <c r="I360" s="58"/>
      <c r="J360" s="58"/>
      <c r="K360" s="58"/>
      <c r="L360" s="57"/>
    </row>
    <row r="361" spans="1:17" s="69" customFormat="1" ht="42.75" customHeight="1" x14ac:dyDescent="0.3">
      <c r="A361" s="247"/>
      <c r="B361" s="24" t="s">
        <v>214</v>
      </c>
      <c r="C361" s="79" t="s">
        <v>13</v>
      </c>
      <c r="D361" s="79">
        <v>3.3</v>
      </c>
      <c r="E361" s="58"/>
      <c r="F361" s="297"/>
      <c r="G361" s="56"/>
      <c r="H361" s="58"/>
      <c r="I361" s="58"/>
      <c r="J361" s="58"/>
      <c r="K361" s="58"/>
      <c r="L361" s="57"/>
      <c r="M361" s="126"/>
    </row>
    <row r="362" spans="1:17" s="69" customFormat="1" ht="13.95" customHeight="1" thickBot="1" x14ac:dyDescent="0.35">
      <c r="A362" s="279"/>
      <c r="B362" s="98" t="s">
        <v>14</v>
      </c>
      <c r="C362" s="141" t="s">
        <v>15</v>
      </c>
      <c r="D362" s="141">
        <v>0.22</v>
      </c>
      <c r="E362" s="142"/>
      <c r="F362" s="313"/>
      <c r="G362" s="143"/>
      <c r="H362" s="142"/>
      <c r="I362" s="142"/>
      <c r="J362" s="142"/>
      <c r="K362" s="142"/>
      <c r="L362" s="144"/>
    </row>
    <row r="363" spans="1:17" s="69" customFormat="1" ht="27.6" customHeight="1" x14ac:dyDescent="0.3">
      <c r="A363" s="97">
        <v>6</v>
      </c>
      <c r="B363" s="137" t="s">
        <v>234</v>
      </c>
      <c r="C363" s="134" t="s">
        <v>33</v>
      </c>
      <c r="D363" s="134"/>
      <c r="E363" s="138">
        <f>E357</f>
        <v>79.2</v>
      </c>
      <c r="F363" s="312"/>
      <c r="G363" s="138"/>
      <c r="H363" s="138"/>
      <c r="I363" s="138"/>
      <c r="J363" s="138"/>
      <c r="K363" s="138"/>
      <c r="L363" s="139"/>
    </row>
    <row r="364" spans="1:17" s="69" customFormat="1" ht="13.95" customHeight="1" x14ac:dyDescent="0.3">
      <c r="A364" s="247"/>
      <c r="B364" s="24" t="s">
        <v>8</v>
      </c>
      <c r="C364" s="79" t="s">
        <v>33</v>
      </c>
      <c r="D364" s="79">
        <v>1</v>
      </c>
      <c r="E364" s="58"/>
      <c r="F364" s="297"/>
      <c r="G364" s="56"/>
      <c r="H364" s="58"/>
      <c r="I364" s="58"/>
      <c r="J364" s="58"/>
      <c r="K364" s="58"/>
      <c r="L364" s="57"/>
    </row>
    <row r="365" spans="1:17" s="69" customFormat="1" ht="13.95" customHeight="1" x14ac:dyDescent="0.3">
      <c r="A365" s="247"/>
      <c r="B365" s="24" t="s">
        <v>10</v>
      </c>
      <c r="C365" s="79" t="s">
        <v>15</v>
      </c>
      <c r="D365" s="79">
        <f>0.08</f>
        <v>0.08</v>
      </c>
      <c r="E365" s="58"/>
      <c r="F365" s="297"/>
      <c r="G365" s="56"/>
      <c r="H365" s="58"/>
      <c r="I365" s="58"/>
      <c r="J365" s="58"/>
      <c r="K365" s="58"/>
      <c r="L365" s="57"/>
    </row>
    <row r="366" spans="1:17" s="69" customFormat="1" ht="13.95" customHeight="1" x14ac:dyDescent="0.3">
      <c r="A366" s="247"/>
      <c r="B366" s="24" t="s">
        <v>12</v>
      </c>
      <c r="C366" s="79"/>
      <c r="D366" s="79"/>
      <c r="E366" s="58"/>
      <c r="F366" s="297"/>
      <c r="G366" s="56"/>
      <c r="H366" s="58"/>
      <c r="I366" s="58"/>
      <c r="J366" s="58"/>
      <c r="K366" s="58"/>
      <c r="L366" s="57"/>
    </row>
    <row r="367" spans="1:17" s="69" customFormat="1" ht="13.95" customHeight="1" x14ac:dyDescent="0.3">
      <c r="A367" s="247"/>
      <c r="B367" s="24" t="s">
        <v>331</v>
      </c>
      <c r="C367" s="79" t="s">
        <v>33</v>
      </c>
      <c r="D367" s="79">
        <f>1.05</f>
        <v>1.05</v>
      </c>
      <c r="E367" s="58"/>
      <c r="F367" s="297"/>
      <c r="G367" s="56"/>
      <c r="H367" s="58"/>
      <c r="I367" s="58"/>
      <c r="J367" s="58"/>
      <c r="K367" s="58"/>
      <c r="L367" s="57"/>
    </row>
    <row r="368" spans="1:17" s="69" customFormat="1" ht="13.95" customHeight="1" x14ac:dyDescent="0.3">
      <c r="A368" s="247"/>
      <c r="B368" s="24" t="s">
        <v>328</v>
      </c>
      <c r="C368" s="79" t="s">
        <v>13</v>
      </c>
      <c r="D368" s="79">
        <v>5</v>
      </c>
      <c r="E368" s="58"/>
      <c r="F368" s="297"/>
      <c r="G368" s="56"/>
      <c r="H368" s="58"/>
      <c r="I368" s="58"/>
      <c r="J368" s="58"/>
      <c r="K368" s="58"/>
      <c r="L368" s="57"/>
    </row>
    <row r="369" spans="1:12" s="69" customFormat="1" ht="13.95" customHeight="1" x14ac:dyDescent="0.3">
      <c r="A369" s="247"/>
      <c r="B369" s="24" t="s">
        <v>39</v>
      </c>
      <c r="C369" s="79" t="s">
        <v>13</v>
      </c>
      <c r="D369" s="79">
        <v>0.15</v>
      </c>
      <c r="E369" s="58"/>
      <c r="F369" s="297"/>
      <c r="G369" s="56"/>
      <c r="H369" s="58"/>
      <c r="I369" s="58"/>
      <c r="J369" s="58"/>
      <c r="K369" s="58"/>
      <c r="L369" s="57"/>
    </row>
    <row r="370" spans="1:12" s="69" customFormat="1" ht="13.95" customHeight="1" thickBot="1" x14ac:dyDescent="0.35">
      <c r="A370" s="279"/>
      <c r="B370" s="98" t="s">
        <v>14</v>
      </c>
      <c r="C370" s="141" t="s">
        <v>15</v>
      </c>
      <c r="D370" s="141">
        <f>0.19</f>
        <v>0.19</v>
      </c>
      <c r="E370" s="142"/>
      <c r="F370" s="313"/>
      <c r="G370" s="143"/>
      <c r="H370" s="142"/>
      <c r="I370" s="142"/>
      <c r="J370" s="142"/>
      <c r="K370" s="142"/>
      <c r="L370" s="144"/>
    </row>
    <row r="371" spans="1:12" s="69" customFormat="1" ht="14.4" customHeight="1" thickBot="1" x14ac:dyDescent="0.35">
      <c r="A371" s="566"/>
      <c r="B371" s="131" t="s">
        <v>297</v>
      </c>
      <c r="C371" s="131"/>
      <c r="D371" s="131"/>
      <c r="E371" s="132"/>
      <c r="F371" s="132"/>
      <c r="G371" s="132"/>
      <c r="H371" s="132"/>
      <c r="I371" s="132"/>
      <c r="J371" s="132"/>
      <c r="K371" s="132"/>
      <c r="L371" s="133"/>
    </row>
    <row r="372" spans="1:12" s="69" customFormat="1" ht="29.25" customHeight="1" x14ac:dyDescent="0.3">
      <c r="A372" s="97">
        <v>1</v>
      </c>
      <c r="B372" s="137" t="s">
        <v>270</v>
      </c>
      <c r="C372" s="134" t="s">
        <v>33</v>
      </c>
      <c r="D372" s="134"/>
      <c r="E372" s="138">
        <v>19.100000000000001</v>
      </c>
      <c r="F372" s="312"/>
      <c r="G372" s="138"/>
      <c r="H372" s="138"/>
      <c r="I372" s="138"/>
      <c r="J372" s="138"/>
      <c r="K372" s="138"/>
      <c r="L372" s="139"/>
    </row>
    <row r="373" spans="1:12" s="69" customFormat="1" ht="13.8" x14ac:dyDescent="0.3">
      <c r="A373" s="247"/>
      <c r="B373" s="24" t="s">
        <v>8</v>
      </c>
      <c r="C373" s="79" t="s">
        <v>33</v>
      </c>
      <c r="D373" s="79">
        <v>1</v>
      </c>
      <c r="E373" s="58"/>
      <c r="F373" s="297"/>
      <c r="G373" s="58"/>
      <c r="H373" s="58"/>
      <c r="I373" s="58"/>
      <c r="J373" s="58"/>
      <c r="K373" s="58"/>
      <c r="L373" s="57"/>
    </row>
    <row r="374" spans="1:12" s="69" customFormat="1" ht="13.8" x14ac:dyDescent="0.3">
      <c r="A374" s="247"/>
      <c r="B374" s="24" t="s">
        <v>10</v>
      </c>
      <c r="C374" s="79" t="s">
        <v>15</v>
      </c>
      <c r="D374" s="79">
        <v>1.7000000000000001E-2</v>
      </c>
      <c r="E374" s="58"/>
      <c r="F374" s="297"/>
      <c r="G374" s="58"/>
      <c r="H374" s="58"/>
      <c r="I374" s="58"/>
      <c r="J374" s="58"/>
      <c r="K374" s="58"/>
      <c r="L374" s="57"/>
    </row>
    <row r="375" spans="1:12" s="69" customFormat="1" ht="13.8" x14ac:dyDescent="0.3">
      <c r="A375" s="247"/>
      <c r="B375" s="24" t="s">
        <v>12</v>
      </c>
      <c r="C375" s="79"/>
      <c r="D375" s="79"/>
      <c r="E375" s="58"/>
      <c r="F375" s="297"/>
      <c r="G375" s="58"/>
      <c r="H375" s="58"/>
      <c r="I375" s="58"/>
      <c r="J375" s="58"/>
      <c r="K375" s="58"/>
      <c r="L375" s="57"/>
    </row>
    <row r="376" spans="1:12" s="69" customFormat="1" ht="13.5" customHeight="1" x14ac:dyDescent="0.3">
      <c r="A376" s="247"/>
      <c r="B376" s="24" t="s">
        <v>330</v>
      </c>
      <c r="C376" s="79" t="s">
        <v>33</v>
      </c>
      <c r="D376" s="79">
        <v>1.05</v>
      </c>
      <c r="E376" s="58"/>
      <c r="F376" s="297"/>
      <c r="G376" s="56"/>
      <c r="H376" s="58"/>
      <c r="I376" s="58"/>
      <c r="J376" s="58"/>
      <c r="K376" s="58"/>
      <c r="L376" s="57"/>
    </row>
    <row r="377" spans="1:12" s="69" customFormat="1" thickBot="1" x14ac:dyDescent="0.35">
      <c r="A377" s="279"/>
      <c r="B377" s="98" t="s">
        <v>14</v>
      </c>
      <c r="C377" s="141" t="s">
        <v>15</v>
      </c>
      <c r="D377" s="141">
        <v>0.22</v>
      </c>
      <c r="E377" s="142"/>
      <c r="F377" s="313"/>
      <c r="G377" s="143"/>
      <c r="H377" s="142"/>
      <c r="I377" s="142"/>
      <c r="J377" s="142"/>
      <c r="K377" s="142"/>
      <c r="L377" s="144"/>
    </row>
    <row r="378" spans="1:12" s="158" customFormat="1" ht="27.75" customHeight="1" x14ac:dyDescent="0.3">
      <c r="A378" s="555">
        <v>2</v>
      </c>
      <c r="B378" s="137" t="s">
        <v>295</v>
      </c>
      <c r="C378" s="134" t="s">
        <v>33</v>
      </c>
      <c r="D378" s="161"/>
      <c r="E378" s="162">
        <f>E372</f>
        <v>19.100000000000001</v>
      </c>
      <c r="F378" s="163"/>
      <c r="G378" s="163"/>
      <c r="H378" s="163"/>
      <c r="I378" s="163"/>
      <c r="J378" s="163"/>
      <c r="K378" s="163"/>
      <c r="L378" s="164"/>
    </row>
    <row r="379" spans="1:12" s="158" customFormat="1" ht="13.8" x14ac:dyDescent="0.3">
      <c r="A379" s="247"/>
      <c r="B379" s="24" t="s">
        <v>8</v>
      </c>
      <c r="C379" s="79" t="s">
        <v>33</v>
      </c>
      <c r="D379" s="159">
        <v>1</v>
      </c>
      <c r="E379" s="159"/>
      <c r="F379" s="166"/>
      <c r="G379" s="165"/>
      <c r="H379" s="165"/>
      <c r="I379" s="165"/>
      <c r="J379" s="165"/>
      <c r="K379" s="165"/>
      <c r="L379" s="160"/>
    </row>
    <row r="380" spans="1:12" s="158" customFormat="1" ht="13.8" x14ac:dyDescent="0.3">
      <c r="A380" s="247"/>
      <c r="B380" s="24" t="s">
        <v>10</v>
      </c>
      <c r="C380" s="79" t="s">
        <v>15</v>
      </c>
      <c r="D380" s="159">
        <v>1.7000000000000001E-2</v>
      </c>
      <c r="E380" s="159"/>
      <c r="F380" s="166"/>
      <c r="G380" s="165"/>
      <c r="H380" s="165"/>
      <c r="I380" s="165"/>
      <c r="J380" s="58"/>
      <c r="K380" s="165"/>
      <c r="L380" s="160"/>
    </row>
    <row r="381" spans="1:12" s="158" customFormat="1" ht="13.8" x14ac:dyDescent="0.3">
      <c r="A381" s="247"/>
      <c r="B381" s="24" t="s">
        <v>12</v>
      </c>
      <c r="C381" s="79"/>
      <c r="D381" s="159"/>
      <c r="E381" s="159"/>
      <c r="F381" s="166"/>
      <c r="G381" s="165"/>
      <c r="H381" s="165"/>
      <c r="I381" s="165"/>
      <c r="J381" s="165"/>
      <c r="K381" s="165"/>
      <c r="L381" s="160"/>
    </row>
    <row r="382" spans="1:12" s="158" customFormat="1" ht="27.6" x14ac:dyDescent="0.3">
      <c r="A382" s="247"/>
      <c r="B382" s="24" t="s">
        <v>226</v>
      </c>
      <c r="C382" s="79" t="s">
        <v>33</v>
      </c>
      <c r="D382" s="159">
        <v>1.1100000000000001</v>
      </c>
      <c r="E382" s="159"/>
      <c r="F382" s="166"/>
      <c r="G382" s="166"/>
      <c r="H382" s="165"/>
      <c r="I382" s="165"/>
      <c r="J382" s="165"/>
      <c r="K382" s="165"/>
      <c r="L382" s="160"/>
    </row>
    <row r="383" spans="1:12" s="158" customFormat="1" thickBot="1" x14ac:dyDescent="0.35">
      <c r="A383" s="247"/>
      <c r="B383" s="24" t="s">
        <v>14</v>
      </c>
      <c r="C383" s="79" t="s">
        <v>15</v>
      </c>
      <c r="D383" s="159">
        <v>0.22</v>
      </c>
      <c r="E383" s="159"/>
      <c r="F383" s="313"/>
      <c r="G383" s="166"/>
      <c r="H383" s="165"/>
      <c r="I383" s="165"/>
      <c r="J383" s="165"/>
      <c r="K383" s="165"/>
      <c r="L383" s="160"/>
    </row>
    <row r="384" spans="1:12" s="158" customFormat="1" ht="27.75" customHeight="1" x14ac:dyDescent="0.3">
      <c r="A384" s="555">
        <v>3</v>
      </c>
      <c r="B384" s="137" t="s">
        <v>220</v>
      </c>
      <c r="C384" s="134" t="s">
        <v>33</v>
      </c>
      <c r="D384" s="161"/>
      <c r="E384" s="162">
        <f>E378</f>
        <v>19.100000000000001</v>
      </c>
      <c r="F384" s="163"/>
      <c r="G384" s="163"/>
      <c r="H384" s="163"/>
      <c r="I384" s="163"/>
      <c r="J384" s="163"/>
      <c r="K384" s="163"/>
      <c r="L384" s="164"/>
    </row>
    <row r="385" spans="1:12" s="158" customFormat="1" ht="13.8" x14ac:dyDescent="0.3">
      <c r="A385" s="247"/>
      <c r="B385" s="24" t="s">
        <v>8</v>
      </c>
      <c r="C385" s="79" t="s">
        <v>33</v>
      </c>
      <c r="D385" s="159">
        <v>1</v>
      </c>
      <c r="E385" s="159"/>
      <c r="F385" s="166"/>
      <c r="G385" s="165"/>
      <c r="H385" s="165"/>
      <c r="I385" s="165"/>
      <c r="J385" s="165"/>
      <c r="K385" s="165"/>
      <c r="L385" s="160"/>
    </row>
    <row r="386" spans="1:12" s="158" customFormat="1" ht="13.8" x14ac:dyDescent="0.3">
      <c r="A386" s="247"/>
      <c r="B386" s="24" t="s">
        <v>10</v>
      </c>
      <c r="C386" s="79" t="s">
        <v>15</v>
      </c>
      <c r="D386" s="159">
        <v>1.7000000000000001E-2</v>
      </c>
      <c r="E386" s="159"/>
      <c r="F386" s="166"/>
      <c r="G386" s="165"/>
      <c r="H386" s="165"/>
      <c r="I386" s="165"/>
      <c r="J386" s="58"/>
      <c r="K386" s="165"/>
      <c r="L386" s="160"/>
    </row>
    <row r="387" spans="1:12" s="158" customFormat="1" ht="13.8" x14ac:dyDescent="0.3">
      <c r="A387" s="247"/>
      <c r="B387" s="24" t="s">
        <v>12</v>
      </c>
      <c r="C387" s="79"/>
      <c r="D387" s="159"/>
      <c r="E387" s="159"/>
      <c r="F387" s="166"/>
      <c r="G387" s="165"/>
      <c r="H387" s="165"/>
      <c r="I387" s="165"/>
      <c r="J387" s="165"/>
      <c r="K387" s="165"/>
      <c r="L387" s="160"/>
    </row>
    <row r="388" spans="1:12" s="158" customFormat="1" ht="13.8" x14ac:dyDescent="0.3">
      <c r="A388" s="247"/>
      <c r="B388" s="24" t="s">
        <v>215</v>
      </c>
      <c r="C388" s="79" t="s">
        <v>33</v>
      </c>
      <c r="D388" s="159">
        <v>1.05</v>
      </c>
      <c r="E388" s="159"/>
      <c r="F388" s="166"/>
      <c r="G388" s="166"/>
      <c r="H388" s="165"/>
      <c r="I388" s="165"/>
      <c r="J388" s="165"/>
      <c r="K388" s="165"/>
      <c r="L388" s="160"/>
    </row>
    <row r="389" spans="1:12" s="158" customFormat="1" thickBot="1" x14ac:dyDescent="0.35">
      <c r="A389" s="401"/>
      <c r="B389" s="24" t="s">
        <v>14</v>
      </c>
      <c r="C389" s="141" t="s">
        <v>15</v>
      </c>
      <c r="D389" s="168">
        <v>0.06</v>
      </c>
      <c r="E389" s="168"/>
      <c r="F389" s="313"/>
      <c r="G389" s="169"/>
      <c r="H389" s="170"/>
      <c r="I389" s="170"/>
      <c r="J389" s="170"/>
      <c r="K389" s="170"/>
      <c r="L389" s="171"/>
    </row>
    <row r="390" spans="1:12" s="158" customFormat="1" ht="27.75" customHeight="1" x14ac:dyDescent="0.3">
      <c r="A390" s="555">
        <v>4</v>
      </c>
      <c r="B390" s="137" t="s">
        <v>220</v>
      </c>
      <c r="C390" s="134" t="s">
        <v>33</v>
      </c>
      <c r="D390" s="161"/>
      <c r="E390" s="162">
        <f>E384</f>
        <v>19.100000000000001</v>
      </c>
      <c r="F390" s="163"/>
      <c r="G390" s="163"/>
      <c r="H390" s="163"/>
      <c r="I390" s="163"/>
      <c r="J390" s="163"/>
      <c r="K390" s="163"/>
      <c r="L390" s="164"/>
    </row>
    <row r="391" spans="1:12" s="158" customFormat="1" ht="13.8" x14ac:dyDescent="0.3">
      <c r="A391" s="247"/>
      <c r="B391" s="24" t="s">
        <v>8</v>
      </c>
      <c r="C391" s="79" t="s">
        <v>33</v>
      </c>
      <c r="D391" s="159">
        <v>1</v>
      </c>
      <c r="E391" s="159"/>
      <c r="F391" s="166"/>
      <c r="G391" s="165"/>
      <c r="H391" s="165"/>
      <c r="I391" s="165"/>
      <c r="J391" s="165"/>
      <c r="K391" s="165"/>
      <c r="L391" s="160"/>
    </row>
    <row r="392" spans="1:12" s="158" customFormat="1" ht="13.8" x14ac:dyDescent="0.3">
      <c r="A392" s="247"/>
      <c r="B392" s="24" t="s">
        <v>10</v>
      </c>
      <c r="C392" s="79" t="s">
        <v>15</v>
      </c>
      <c r="D392" s="159">
        <v>1.7000000000000001E-2</v>
      </c>
      <c r="E392" s="159"/>
      <c r="F392" s="166"/>
      <c r="G392" s="165"/>
      <c r="H392" s="165"/>
      <c r="I392" s="165"/>
      <c r="J392" s="58"/>
      <c r="K392" s="165"/>
      <c r="L392" s="160"/>
    </row>
    <row r="393" spans="1:12" s="158" customFormat="1" ht="13.8" x14ac:dyDescent="0.3">
      <c r="A393" s="247"/>
      <c r="B393" s="24" t="s">
        <v>12</v>
      </c>
      <c r="C393" s="79"/>
      <c r="D393" s="159"/>
      <c r="E393" s="159"/>
      <c r="F393" s="166"/>
      <c r="G393" s="165"/>
      <c r="H393" s="165"/>
      <c r="I393" s="165"/>
      <c r="J393" s="165"/>
      <c r="K393" s="165"/>
      <c r="L393" s="160"/>
    </row>
    <row r="394" spans="1:12" s="158" customFormat="1" ht="13.8" x14ac:dyDescent="0.3">
      <c r="A394" s="247"/>
      <c r="B394" s="24" t="s">
        <v>215</v>
      </c>
      <c r="C394" s="79" t="s">
        <v>33</v>
      </c>
      <c r="D394" s="159">
        <v>1.05</v>
      </c>
      <c r="E394" s="159"/>
      <c r="F394" s="166"/>
      <c r="G394" s="166"/>
      <c r="H394" s="165"/>
      <c r="I394" s="165"/>
      <c r="J394" s="165"/>
      <c r="K394" s="165"/>
      <c r="L394" s="160"/>
    </row>
    <row r="395" spans="1:12" s="158" customFormat="1" thickBot="1" x14ac:dyDescent="0.35">
      <c r="A395" s="401"/>
      <c r="B395" s="98" t="s">
        <v>14</v>
      </c>
      <c r="C395" s="141" t="s">
        <v>15</v>
      </c>
      <c r="D395" s="168">
        <v>0.06</v>
      </c>
      <c r="E395" s="168"/>
      <c r="F395" s="313"/>
      <c r="G395" s="169"/>
      <c r="H395" s="170"/>
      <c r="I395" s="170"/>
      <c r="J395" s="170"/>
      <c r="K395" s="170"/>
      <c r="L395" s="171"/>
    </row>
    <row r="396" spans="1:12" s="69" customFormat="1" ht="27.75" customHeight="1" x14ac:dyDescent="0.3">
      <c r="A396" s="97">
        <v>5</v>
      </c>
      <c r="B396" s="137" t="s">
        <v>476</v>
      </c>
      <c r="C396" s="134" t="s">
        <v>33</v>
      </c>
      <c r="D396" s="134"/>
      <c r="E396" s="138">
        <f>E390</f>
        <v>19.100000000000001</v>
      </c>
      <c r="F396" s="312"/>
      <c r="G396" s="138"/>
      <c r="H396" s="138"/>
      <c r="I396" s="138"/>
      <c r="J396" s="138"/>
      <c r="K396" s="138"/>
      <c r="L396" s="139"/>
    </row>
    <row r="397" spans="1:12" s="69" customFormat="1" ht="13.95" customHeight="1" x14ac:dyDescent="0.3">
      <c r="A397" s="247"/>
      <c r="B397" s="24" t="s">
        <v>8</v>
      </c>
      <c r="C397" s="79" t="s">
        <v>33</v>
      </c>
      <c r="D397" s="79">
        <v>1</v>
      </c>
      <c r="E397" s="58"/>
      <c r="F397" s="297"/>
      <c r="G397" s="58"/>
      <c r="H397" s="58"/>
      <c r="I397" s="58"/>
      <c r="J397" s="58"/>
      <c r="K397" s="58"/>
      <c r="L397" s="57"/>
    </row>
    <row r="398" spans="1:12" s="69" customFormat="1" ht="13.95" customHeight="1" x14ac:dyDescent="0.3">
      <c r="A398" s="247"/>
      <c r="B398" s="24" t="s">
        <v>12</v>
      </c>
      <c r="C398" s="79"/>
      <c r="D398" s="79"/>
      <c r="E398" s="58"/>
      <c r="F398" s="297"/>
      <c r="G398" s="58"/>
      <c r="H398" s="58"/>
      <c r="I398" s="58"/>
      <c r="J398" s="58"/>
      <c r="K398" s="58"/>
      <c r="L398" s="57"/>
    </row>
    <row r="399" spans="1:12" s="69" customFormat="1" ht="13.95" customHeight="1" thickBot="1" x14ac:dyDescent="0.35">
      <c r="A399" s="279"/>
      <c r="B399" s="98" t="s">
        <v>292</v>
      </c>
      <c r="C399" s="79" t="s">
        <v>33</v>
      </c>
      <c r="D399" s="141">
        <v>1.02</v>
      </c>
      <c r="E399" s="142"/>
      <c r="F399" s="313"/>
      <c r="G399" s="143"/>
      <c r="H399" s="142"/>
      <c r="I399" s="142"/>
      <c r="J399" s="142"/>
      <c r="K399" s="142"/>
      <c r="L399" s="144"/>
    </row>
    <row r="400" spans="1:12" s="69" customFormat="1" ht="27.75" customHeight="1" x14ac:dyDescent="0.3">
      <c r="A400" s="97">
        <v>6</v>
      </c>
      <c r="B400" s="137" t="s">
        <v>468</v>
      </c>
      <c r="C400" s="134" t="s">
        <v>33</v>
      </c>
      <c r="D400" s="134"/>
      <c r="E400" s="138">
        <f>E396</f>
        <v>19.100000000000001</v>
      </c>
      <c r="F400" s="312"/>
      <c r="G400" s="138"/>
      <c r="H400" s="138"/>
      <c r="I400" s="138"/>
      <c r="J400" s="138"/>
      <c r="K400" s="138"/>
      <c r="L400" s="139"/>
    </row>
    <row r="401" spans="1:17" s="69" customFormat="1" ht="13.95" customHeight="1" x14ac:dyDescent="0.3">
      <c r="A401" s="247"/>
      <c r="B401" s="24" t="s">
        <v>8</v>
      </c>
      <c r="C401" s="79" t="s">
        <v>33</v>
      </c>
      <c r="D401" s="79">
        <v>1</v>
      </c>
      <c r="E401" s="58"/>
      <c r="F401" s="297"/>
      <c r="G401" s="58"/>
      <c r="H401" s="58"/>
      <c r="I401" s="58"/>
      <c r="J401" s="58"/>
      <c r="K401" s="58"/>
      <c r="L401" s="57"/>
    </row>
    <row r="402" spans="1:17" s="69" customFormat="1" ht="13.95" customHeight="1" x14ac:dyDescent="0.3">
      <c r="A402" s="247"/>
      <c r="B402" s="24" t="s">
        <v>12</v>
      </c>
      <c r="C402" s="79"/>
      <c r="D402" s="79"/>
      <c r="E402" s="58"/>
      <c r="F402" s="297"/>
      <c r="G402" s="58"/>
      <c r="H402" s="58"/>
      <c r="I402" s="58"/>
      <c r="J402" s="58"/>
      <c r="K402" s="58"/>
      <c r="L402" s="57"/>
    </row>
    <row r="403" spans="1:17" s="69" customFormat="1" ht="13.95" customHeight="1" x14ac:dyDescent="0.3">
      <c r="A403" s="560"/>
      <c r="B403" s="613" t="s">
        <v>122</v>
      </c>
      <c r="C403" s="151" t="s">
        <v>27</v>
      </c>
      <c r="D403" s="151">
        <f>(209+170)/2/100*1.02</f>
        <v>1.9329000000000001</v>
      </c>
      <c r="E403" s="152"/>
      <c r="F403" s="652"/>
      <c r="G403" s="167"/>
      <c r="H403" s="152"/>
      <c r="I403" s="152"/>
      <c r="J403" s="152"/>
      <c r="K403" s="152"/>
      <c r="L403" s="153"/>
    </row>
    <row r="404" spans="1:17" s="158" customFormat="1" ht="18" thickBot="1" x14ac:dyDescent="0.35">
      <c r="A404" s="247"/>
      <c r="B404" s="248" t="s">
        <v>231</v>
      </c>
      <c r="C404" s="249" t="s">
        <v>236</v>
      </c>
      <c r="D404" s="79">
        <v>1.05</v>
      </c>
      <c r="E404" s="58"/>
      <c r="F404" s="297"/>
      <c r="G404" s="58"/>
      <c r="H404" s="58"/>
      <c r="I404" s="58"/>
      <c r="J404" s="58"/>
      <c r="K404" s="58"/>
      <c r="L404" s="57"/>
    </row>
    <row r="405" spans="1:17" s="216" customFormat="1" ht="29.25" customHeight="1" x14ac:dyDescent="0.3">
      <c r="A405" s="97">
        <v>7</v>
      </c>
      <c r="B405" s="137" t="s">
        <v>240</v>
      </c>
      <c r="C405" s="134" t="s">
        <v>33</v>
      </c>
      <c r="D405" s="134"/>
      <c r="E405" s="138">
        <v>19.100000000000001</v>
      </c>
      <c r="F405" s="312"/>
      <c r="G405" s="138"/>
      <c r="H405" s="138"/>
      <c r="I405" s="138"/>
      <c r="J405" s="138"/>
      <c r="K405" s="138"/>
      <c r="L405" s="139"/>
    </row>
    <row r="406" spans="1:17" s="69" customFormat="1" ht="13.95" customHeight="1" x14ac:dyDescent="0.3">
      <c r="A406" s="247"/>
      <c r="B406" s="24" t="s">
        <v>8</v>
      </c>
      <c r="C406" s="79" t="s">
        <v>33</v>
      </c>
      <c r="D406" s="79">
        <v>1</v>
      </c>
      <c r="E406" s="58"/>
      <c r="F406" s="297"/>
      <c r="G406" s="58"/>
      <c r="H406" s="58"/>
      <c r="I406" s="58"/>
      <c r="J406" s="58"/>
      <c r="K406" s="58"/>
      <c r="L406" s="57"/>
      <c r="N406" s="118"/>
    </row>
    <row r="407" spans="1:17" s="69" customFormat="1" ht="13.95" customHeight="1" x14ac:dyDescent="0.3">
      <c r="A407" s="247"/>
      <c r="B407" s="24" t="s">
        <v>10</v>
      </c>
      <c r="C407" s="79" t="s">
        <v>15</v>
      </c>
      <c r="D407" s="180">
        <v>1</v>
      </c>
      <c r="E407" s="58"/>
      <c r="F407" s="297"/>
      <c r="G407" s="58"/>
      <c r="H407" s="58"/>
      <c r="I407" s="58"/>
      <c r="J407" s="58"/>
      <c r="K407" s="58"/>
      <c r="L407" s="57"/>
    </row>
    <row r="408" spans="1:17" s="69" customFormat="1" ht="13.95" customHeight="1" x14ac:dyDescent="0.3">
      <c r="A408" s="247"/>
      <c r="B408" s="24" t="s">
        <v>12</v>
      </c>
      <c r="C408" s="79"/>
      <c r="D408" s="79"/>
      <c r="E408" s="58"/>
      <c r="F408" s="297"/>
      <c r="G408" s="58"/>
      <c r="H408" s="58"/>
      <c r="I408" s="58"/>
      <c r="J408" s="58"/>
      <c r="K408" s="58"/>
      <c r="L408" s="57"/>
    </row>
    <row r="409" spans="1:17" s="184" customFormat="1" ht="18" customHeight="1" x14ac:dyDescent="0.3">
      <c r="A409" s="120"/>
      <c r="B409" s="24" t="s">
        <v>269</v>
      </c>
      <c r="C409" s="121" t="s">
        <v>27</v>
      </c>
      <c r="D409" s="79">
        <f>(2.04+0.51*10)/100</f>
        <v>7.1399999999999991E-2</v>
      </c>
      <c r="E409" s="122"/>
      <c r="F409" s="649"/>
      <c r="G409" s="166"/>
      <c r="H409" s="165"/>
      <c r="I409" s="165"/>
      <c r="J409" s="165"/>
      <c r="K409" s="165"/>
      <c r="L409" s="160"/>
      <c r="M409"/>
      <c r="N409"/>
      <c r="O409"/>
      <c r="P409"/>
      <c r="Q409"/>
    </row>
    <row r="410" spans="1:17" s="184" customFormat="1" ht="18" customHeight="1" x14ac:dyDescent="0.3">
      <c r="A410" s="272"/>
      <c r="B410" s="24" t="s">
        <v>122</v>
      </c>
      <c r="C410" s="273" t="s">
        <v>27</v>
      </c>
      <c r="D410" s="218">
        <f>0.07*1.23</f>
        <v>8.610000000000001E-2</v>
      </c>
      <c r="E410" s="274"/>
      <c r="F410" s="297"/>
      <c r="G410" s="166"/>
      <c r="H410" s="201"/>
      <c r="I410" s="201"/>
      <c r="J410" s="201"/>
      <c r="K410" s="201"/>
      <c r="L410" s="160"/>
      <c r="M410"/>
      <c r="N410"/>
      <c r="O410"/>
      <c r="P410"/>
      <c r="Q410"/>
    </row>
    <row r="411" spans="1:17" s="184" customFormat="1" ht="18" customHeight="1" x14ac:dyDescent="0.3">
      <c r="A411" s="272"/>
      <c r="B411" s="24" t="s">
        <v>138</v>
      </c>
      <c r="C411" s="273" t="s">
        <v>228</v>
      </c>
      <c r="D411" s="218">
        <f>0.07*0.306</f>
        <v>2.1420000000000002E-2</v>
      </c>
      <c r="E411" s="274"/>
      <c r="F411" s="297"/>
      <c r="G411" s="166"/>
      <c r="H411" s="201"/>
      <c r="I411" s="201"/>
      <c r="J411" s="201"/>
      <c r="K411" s="201"/>
      <c r="L411" s="160"/>
      <c r="M411"/>
      <c r="N411"/>
      <c r="O411"/>
      <c r="P411"/>
      <c r="Q411"/>
    </row>
    <row r="412" spans="1:17" s="69" customFormat="1" ht="13.95" customHeight="1" x14ac:dyDescent="0.3">
      <c r="A412" s="247"/>
      <c r="B412" s="24" t="s">
        <v>470</v>
      </c>
      <c r="C412" s="79" t="s">
        <v>33</v>
      </c>
      <c r="D412" s="79">
        <v>1.03</v>
      </c>
      <c r="E412" s="58"/>
      <c r="F412" s="297"/>
      <c r="G412" s="56"/>
      <c r="H412" s="58"/>
      <c r="I412" s="58"/>
      <c r="J412" s="58"/>
      <c r="K412" s="58"/>
      <c r="L412" s="57"/>
    </row>
    <row r="413" spans="1:17" s="69" customFormat="1" ht="13.95" customHeight="1" thickBot="1" x14ac:dyDescent="0.35">
      <c r="A413" s="279"/>
      <c r="B413" s="98" t="s">
        <v>14</v>
      </c>
      <c r="C413" s="141" t="s">
        <v>15</v>
      </c>
      <c r="D413" s="141">
        <v>1</v>
      </c>
      <c r="E413" s="142"/>
      <c r="F413" s="313"/>
      <c r="G413" s="143"/>
      <c r="H413" s="142"/>
      <c r="I413" s="142"/>
      <c r="J413" s="142"/>
      <c r="K413" s="142"/>
      <c r="L413" s="144"/>
    </row>
    <row r="414" spans="1:17" s="69" customFormat="1" ht="27.6" x14ac:dyDescent="0.3">
      <c r="A414" s="555">
        <v>8</v>
      </c>
      <c r="B414" s="137" t="s">
        <v>219</v>
      </c>
      <c r="C414" s="134" t="s">
        <v>33</v>
      </c>
      <c r="D414" s="134"/>
      <c r="E414" s="138">
        <f>E405</f>
        <v>19.100000000000001</v>
      </c>
      <c r="F414" s="312"/>
      <c r="G414" s="138"/>
      <c r="H414" s="138"/>
      <c r="I414" s="138"/>
      <c r="J414" s="138"/>
      <c r="K414" s="138"/>
      <c r="L414" s="139"/>
    </row>
    <row r="415" spans="1:17" s="69" customFormat="1" ht="13.95" customHeight="1" x14ac:dyDescent="0.3">
      <c r="A415" s="247"/>
      <c r="B415" s="24" t="s">
        <v>8</v>
      </c>
      <c r="C415" s="79" t="s">
        <v>33</v>
      </c>
      <c r="D415" s="79">
        <v>1</v>
      </c>
      <c r="E415" s="58"/>
      <c r="F415" s="297"/>
      <c r="G415" s="58"/>
      <c r="H415" s="58"/>
      <c r="I415" s="58"/>
      <c r="J415" s="58"/>
      <c r="K415" s="58"/>
      <c r="L415" s="57"/>
    </row>
    <row r="416" spans="1:17" s="69" customFormat="1" ht="13.95" customHeight="1" x14ac:dyDescent="0.3">
      <c r="A416" s="247"/>
      <c r="B416" s="24" t="s">
        <v>10</v>
      </c>
      <c r="C416" s="79" t="s">
        <v>15</v>
      </c>
      <c r="D416" s="79">
        <v>1.7000000000000001E-2</v>
      </c>
      <c r="E416" s="58"/>
      <c r="F416" s="297"/>
      <c r="G416" s="58"/>
      <c r="H416" s="58"/>
      <c r="I416" s="58"/>
      <c r="J416" s="58"/>
      <c r="K416" s="58"/>
      <c r="L416" s="57"/>
    </row>
    <row r="417" spans="1:14" s="69" customFormat="1" ht="13.95" customHeight="1" x14ac:dyDescent="0.3">
      <c r="A417" s="247"/>
      <c r="B417" s="24" t="s">
        <v>12</v>
      </c>
      <c r="C417" s="79"/>
      <c r="D417" s="79"/>
      <c r="E417" s="58"/>
      <c r="F417" s="297"/>
      <c r="G417" s="58"/>
      <c r="H417" s="58"/>
      <c r="I417" s="58"/>
      <c r="J417" s="58"/>
      <c r="K417" s="58"/>
      <c r="L417" s="57"/>
    </row>
    <row r="418" spans="1:14" s="69" customFormat="1" ht="41.4" x14ac:dyDescent="0.3">
      <c r="A418" s="247"/>
      <c r="B418" s="24" t="s">
        <v>214</v>
      </c>
      <c r="C418" s="79" t="s">
        <v>13</v>
      </c>
      <c r="D418" s="79">
        <v>3.3</v>
      </c>
      <c r="E418" s="58"/>
      <c r="F418" s="297"/>
      <c r="G418" s="56"/>
      <c r="H418" s="58"/>
      <c r="I418" s="58"/>
      <c r="J418" s="58"/>
      <c r="K418" s="58"/>
      <c r="L418" s="57"/>
      <c r="M418" s="126"/>
    </row>
    <row r="419" spans="1:14" s="69" customFormat="1" ht="13.95" customHeight="1" thickBot="1" x14ac:dyDescent="0.35">
      <c r="A419" s="279"/>
      <c r="B419" s="98" t="s">
        <v>14</v>
      </c>
      <c r="C419" s="141" t="s">
        <v>15</v>
      </c>
      <c r="D419" s="141">
        <v>0.22</v>
      </c>
      <c r="E419" s="142"/>
      <c r="F419" s="313"/>
      <c r="G419" s="143"/>
      <c r="H419" s="142"/>
      <c r="I419" s="142"/>
      <c r="J419" s="142"/>
      <c r="K419" s="142"/>
      <c r="L419" s="144"/>
    </row>
    <row r="420" spans="1:14" s="69" customFormat="1" ht="27.6" customHeight="1" x14ac:dyDescent="0.3">
      <c r="A420" s="97">
        <v>9</v>
      </c>
      <c r="B420" s="137" t="s">
        <v>224</v>
      </c>
      <c r="C420" s="134" t="s">
        <v>33</v>
      </c>
      <c r="D420" s="134"/>
      <c r="E420" s="138"/>
      <c r="F420" s="312"/>
      <c r="G420" s="138"/>
      <c r="H420" s="138"/>
      <c r="I420" s="138"/>
      <c r="J420" s="138"/>
      <c r="K420" s="138"/>
      <c r="L420" s="139"/>
    </row>
    <row r="421" spans="1:14" s="69" customFormat="1" ht="13.95" customHeight="1" x14ac:dyDescent="0.3">
      <c r="A421" s="247"/>
      <c r="B421" s="24" t="s">
        <v>8</v>
      </c>
      <c r="C421" s="79" t="s">
        <v>33</v>
      </c>
      <c r="D421" s="79">
        <v>1</v>
      </c>
      <c r="E421" s="58"/>
      <c r="F421" s="297"/>
      <c r="G421" s="56"/>
      <c r="H421" s="58"/>
      <c r="I421" s="58"/>
      <c r="J421" s="58"/>
      <c r="K421" s="58"/>
      <c r="L421" s="57"/>
    </row>
    <row r="422" spans="1:14" s="69" customFormat="1" ht="13.95" customHeight="1" x14ac:dyDescent="0.3">
      <c r="A422" s="247"/>
      <c r="B422" s="24" t="s">
        <v>10</v>
      </c>
      <c r="C422" s="79" t="s">
        <v>15</v>
      </c>
      <c r="D422" s="79">
        <f>0.08</f>
        <v>0.08</v>
      </c>
      <c r="E422" s="58"/>
      <c r="F422" s="297"/>
      <c r="G422" s="56"/>
      <c r="H422" s="58"/>
      <c r="I422" s="58"/>
      <c r="J422" s="58"/>
      <c r="K422" s="58"/>
      <c r="L422" s="57"/>
    </row>
    <row r="423" spans="1:14" s="69" customFormat="1" ht="13.95" customHeight="1" x14ac:dyDescent="0.3">
      <c r="A423" s="247"/>
      <c r="B423" s="24" t="s">
        <v>12</v>
      </c>
      <c r="C423" s="79"/>
      <c r="D423" s="79"/>
      <c r="E423" s="58"/>
      <c r="F423" s="297"/>
      <c r="G423" s="56"/>
      <c r="H423" s="58"/>
      <c r="I423" s="58"/>
      <c r="J423" s="58"/>
      <c r="K423" s="58"/>
      <c r="L423" s="57"/>
    </row>
    <row r="424" spans="1:14" s="69" customFormat="1" ht="27.6" x14ac:dyDescent="0.3">
      <c r="A424" s="247"/>
      <c r="B424" s="24" t="s">
        <v>299</v>
      </c>
      <c r="C424" s="79" t="s">
        <v>33</v>
      </c>
      <c r="D424" s="79">
        <f>1.05</f>
        <v>1.05</v>
      </c>
      <c r="E424" s="58"/>
      <c r="F424" s="297"/>
      <c r="G424" s="56"/>
      <c r="H424" s="58"/>
      <c r="I424" s="58"/>
      <c r="J424" s="58"/>
      <c r="K424" s="58"/>
      <c r="L424" s="57"/>
      <c r="N424" s="69" t="s">
        <v>329</v>
      </c>
    </row>
    <row r="425" spans="1:14" s="69" customFormat="1" ht="13.95" customHeight="1" x14ac:dyDescent="0.3">
      <c r="A425" s="247"/>
      <c r="B425" s="24" t="s">
        <v>328</v>
      </c>
      <c r="C425" s="79" t="s">
        <v>13</v>
      </c>
      <c r="D425" s="79">
        <v>5</v>
      </c>
      <c r="E425" s="58"/>
      <c r="F425" s="297"/>
      <c r="G425" s="56"/>
      <c r="H425" s="58"/>
      <c r="I425" s="58"/>
      <c r="J425" s="58"/>
      <c r="K425" s="58"/>
      <c r="L425" s="57"/>
    </row>
    <row r="426" spans="1:14" s="69" customFormat="1" ht="13.95" customHeight="1" x14ac:dyDescent="0.3">
      <c r="A426" s="247"/>
      <c r="B426" s="24" t="s">
        <v>39</v>
      </c>
      <c r="C426" s="79" t="s">
        <v>13</v>
      </c>
      <c r="D426" s="79">
        <v>0.15</v>
      </c>
      <c r="E426" s="58"/>
      <c r="F426" s="297"/>
      <c r="G426" s="56"/>
      <c r="H426" s="58"/>
      <c r="I426" s="58"/>
      <c r="J426" s="58"/>
      <c r="K426" s="58"/>
      <c r="L426" s="57"/>
    </row>
    <row r="427" spans="1:14" s="217" customFormat="1" ht="13.95" customHeight="1" thickBot="1" x14ac:dyDescent="0.35">
      <c r="A427" s="279"/>
      <c r="B427" s="98" t="s">
        <v>14</v>
      </c>
      <c r="C427" s="141" t="s">
        <v>15</v>
      </c>
      <c r="D427" s="141">
        <f>0.19</f>
        <v>0.19</v>
      </c>
      <c r="E427" s="142"/>
      <c r="F427" s="313"/>
      <c r="G427" s="143"/>
      <c r="H427" s="142"/>
      <c r="I427" s="142"/>
      <c r="J427" s="142"/>
      <c r="K427" s="142"/>
      <c r="L427" s="144"/>
    </row>
    <row r="428" spans="1:14" s="69" customFormat="1" ht="14.4" customHeight="1" thickBot="1" x14ac:dyDescent="0.35">
      <c r="A428" s="569"/>
      <c r="B428" s="213" t="s">
        <v>241</v>
      </c>
      <c r="C428" s="213"/>
      <c r="D428" s="213"/>
      <c r="E428" s="214"/>
      <c r="F428" s="214"/>
      <c r="G428" s="214"/>
      <c r="H428" s="214"/>
      <c r="I428" s="214"/>
      <c r="J428" s="214"/>
      <c r="K428" s="214"/>
      <c r="L428" s="215"/>
    </row>
    <row r="429" spans="1:14" s="69" customFormat="1" ht="29.25" customHeight="1" x14ac:dyDescent="0.3">
      <c r="A429" s="97">
        <v>1</v>
      </c>
      <c r="B429" s="137" t="s">
        <v>270</v>
      </c>
      <c r="C429" s="134" t="s">
        <v>33</v>
      </c>
      <c r="D429" s="134"/>
      <c r="E429" s="138">
        <v>171</v>
      </c>
      <c r="F429" s="312"/>
      <c r="G429" s="138"/>
      <c r="H429" s="138"/>
      <c r="I429" s="138"/>
      <c r="J429" s="138"/>
      <c r="K429" s="138"/>
      <c r="L429" s="139"/>
    </row>
    <row r="430" spans="1:14" s="69" customFormat="1" ht="13.8" x14ac:dyDescent="0.3">
      <c r="A430" s="247"/>
      <c r="B430" s="24" t="s">
        <v>8</v>
      </c>
      <c r="C430" s="79" t="s">
        <v>33</v>
      </c>
      <c r="D430" s="79">
        <v>1</v>
      </c>
      <c r="E430" s="58"/>
      <c r="F430" s="297"/>
      <c r="G430" s="58"/>
      <c r="H430" s="58"/>
      <c r="I430" s="58"/>
      <c r="J430" s="58"/>
      <c r="K430" s="58"/>
      <c r="L430" s="57"/>
    </row>
    <row r="431" spans="1:14" s="69" customFormat="1" ht="13.8" x14ac:dyDescent="0.3">
      <c r="A431" s="247"/>
      <c r="B431" s="24" t="s">
        <v>10</v>
      </c>
      <c r="C431" s="79" t="s">
        <v>15</v>
      </c>
      <c r="D431" s="79">
        <v>1.7000000000000001E-2</v>
      </c>
      <c r="E431" s="58"/>
      <c r="F431" s="297"/>
      <c r="G431" s="58"/>
      <c r="H431" s="58"/>
      <c r="I431" s="58"/>
      <c r="J431" s="58"/>
      <c r="K431" s="58"/>
      <c r="L431" s="57"/>
    </row>
    <row r="432" spans="1:14" s="69" customFormat="1" ht="13.8" x14ac:dyDescent="0.3">
      <c r="A432" s="247"/>
      <c r="B432" s="24" t="s">
        <v>12</v>
      </c>
      <c r="C432" s="79"/>
      <c r="D432" s="79"/>
      <c r="E432" s="58"/>
      <c r="F432" s="297"/>
      <c r="G432" s="58"/>
      <c r="H432" s="58"/>
      <c r="I432" s="58"/>
      <c r="J432" s="58"/>
      <c r="K432" s="58"/>
      <c r="L432" s="57"/>
    </row>
    <row r="433" spans="1:12" s="69" customFormat="1" ht="15.75" customHeight="1" x14ac:dyDescent="0.3">
      <c r="A433" s="247"/>
      <c r="B433" s="24" t="s">
        <v>330</v>
      </c>
      <c r="C433" s="79" t="s">
        <v>33</v>
      </c>
      <c r="D433" s="79">
        <v>1.05</v>
      </c>
      <c r="E433" s="58"/>
      <c r="F433" s="297"/>
      <c r="G433" s="56"/>
      <c r="H433" s="58"/>
      <c r="I433" s="58"/>
      <c r="J433" s="58"/>
      <c r="K433" s="58"/>
      <c r="L433" s="57"/>
    </row>
    <row r="434" spans="1:12" s="69" customFormat="1" thickBot="1" x14ac:dyDescent="0.35">
      <c r="A434" s="279"/>
      <c r="B434" s="98" t="s">
        <v>14</v>
      </c>
      <c r="C434" s="141" t="s">
        <v>15</v>
      </c>
      <c r="D434" s="141">
        <v>0.22</v>
      </c>
      <c r="E434" s="142"/>
      <c r="F434" s="313"/>
      <c r="G434" s="143"/>
      <c r="H434" s="142"/>
      <c r="I434" s="142"/>
      <c r="J434" s="142"/>
      <c r="K434" s="142"/>
      <c r="L434" s="144"/>
    </row>
    <row r="435" spans="1:12" s="158" customFormat="1" ht="27.75" customHeight="1" x14ac:dyDescent="0.3">
      <c r="A435" s="555">
        <v>2</v>
      </c>
      <c r="B435" s="137" t="s">
        <v>220</v>
      </c>
      <c r="C435" s="134" t="s">
        <v>33</v>
      </c>
      <c r="D435" s="161"/>
      <c r="E435" s="162">
        <f>E429</f>
        <v>171</v>
      </c>
      <c r="F435" s="163"/>
      <c r="G435" s="163"/>
      <c r="H435" s="163"/>
      <c r="I435" s="163"/>
      <c r="J435" s="163"/>
      <c r="K435" s="163"/>
      <c r="L435" s="164"/>
    </row>
    <row r="436" spans="1:12" s="158" customFormat="1" ht="13.8" x14ac:dyDescent="0.3">
      <c r="A436" s="247"/>
      <c r="B436" s="24" t="s">
        <v>8</v>
      </c>
      <c r="C436" s="79" t="s">
        <v>33</v>
      </c>
      <c r="D436" s="159">
        <v>1</v>
      </c>
      <c r="E436" s="159"/>
      <c r="F436" s="166"/>
      <c r="G436" s="165"/>
      <c r="H436" s="165"/>
      <c r="I436" s="165"/>
      <c r="J436" s="165"/>
      <c r="K436" s="165"/>
      <c r="L436" s="160"/>
    </row>
    <row r="437" spans="1:12" s="158" customFormat="1" ht="13.8" x14ac:dyDescent="0.3">
      <c r="A437" s="247"/>
      <c r="B437" s="24" t="s">
        <v>10</v>
      </c>
      <c r="C437" s="79" t="s">
        <v>15</v>
      </c>
      <c r="D437" s="284">
        <v>1.7000000000000001E-2</v>
      </c>
      <c r="E437" s="159"/>
      <c r="F437" s="166"/>
      <c r="G437" s="165"/>
      <c r="H437" s="165"/>
      <c r="I437" s="165"/>
      <c r="J437" s="58"/>
      <c r="K437" s="165"/>
      <c r="L437" s="160"/>
    </row>
    <row r="438" spans="1:12" s="158" customFormat="1" ht="13.8" x14ac:dyDescent="0.3">
      <c r="A438" s="247"/>
      <c r="B438" s="24" t="s">
        <v>12</v>
      </c>
      <c r="C438" s="79"/>
      <c r="D438" s="159"/>
      <c r="E438" s="159"/>
      <c r="F438" s="166"/>
      <c r="G438" s="165"/>
      <c r="H438" s="165"/>
      <c r="I438" s="165"/>
      <c r="J438" s="165"/>
      <c r="K438" s="165"/>
      <c r="L438" s="160"/>
    </row>
    <row r="439" spans="1:12" s="158" customFormat="1" ht="13.8" x14ac:dyDescent="0.3">
      <c r="A439" s="247"/>
      <c r="B439" s="24" t="s">
        <v>215</v>
      </c>
      <c r="C439" s="79" t="s">
        <v>33</v>
      </c>
      <c r="D439" s="159">
        <v>1.05</v>
      </c>
      <c r="E439" s="159"/>
      <c r="F439" s="166"/>
      <c r="G439" s="166"/>
      <c r="H439" s="165"/>
      <c r="I439" s="165"/>
      <c r="J439" s="165"/>
      <c r="K439" s="165"/>
      <c r="L439" s="160"/>
    </row>
    <row r="440" spans="1:12" s="158" customFormat="1" thickBot="1" x14ac:dyDescent="0.35">
      <c r="A440" s="401"/>
      <c r="B440" s="24" t="s">
        <v>14</v>
      </c>
      <c r="C440" s="141" t="s">
        <v>15</v>
      </c>
      <c r="D440" s="168">
        <v>0.06</v>
      </c>
      <c r="E440" s="168"/>
      <c r="F440" s="313"/>
      <c r="G440" s="169"/>
      <c r="H440" s="170"/>
      <c r="I440" s="170"/>
      <c r="J440" s="170"/>
      <c r="K440" s="170"/>
      <c r="L440" s="171"/>
    </row>
    <row r="441" spans="1:12" s="158" customFormat="1" ht="27.75" customHeight="1" x14ac:dyDescent="0.3">
      <c r="A441" s="555">
        <v>3</v>
      </c>
      <c r="B441" s="137" t="s">
        <v>220</v>
      </c>
      <c r="C441" s="134" t="s">
        <v>33</v>
      </c>
      <c r="D441" s="161"/>
      <c r="E441" s="162">
        <f>E435</f>
        <v>171</v>
      </c>
      <c r="F441" s="163"/>
      <c r="G441" s="163"/>
      <c r="H441" s="163"/>
      <c r="I441" s="163"/>
      <c r="J441" s="163"/>
      <c r="K441" s="163"/>
      <c r="L441" s="164"/>
    </row>
    <row r="442" spans="1:12" s="158" customFormat="1" ht="13.8" x14ac:dyDescent="0.3">
      <c r="A442" s="247"/>
      <c r="B442" s="24" t="s">
        <v>8</v>
      </c>
      <c r="C442" s="79" t="s">
        <v>33</v>
      </c>
      <c r="D442" s="159">
        <v>1</v>
      </c>
      <c r="E442" s="159"/>
      <c r="F442" s="166"/>
      <c r="G442" s="165"/>
      <c r="H442" s="165"/>
      <c r="I442" s="165"/>
      <c r="J442" s="165"/>
      <c r="K442" s="165"/>
      <c r="L442" s="160"/>
    </row>
    <row r="443" spans="1:12" s="158" customFormat="1" ht="13.8" x14ac:dyDescent="0.3">
      <c r="A443" s="247"/>
      <c r="B443" s="24" t="s">
        <v>10</v>
      </c>
      <c r="C443" s="79" t="s">
        <v>15</v>
      </c>
      <c r="D443" s="284">
        <v>1.7000000000000001E-2</v>
      </c>
      <c r="E443" s="159"/>
      <c r="F443" s="166"/>
      <c r="G443" s="165"/>
      <c r="H443" s="165"/>
      <c r="I443" s="165"/>
      <c r="J443" s="58"/>
      <c r="K443" s="165"/>
      <c r="L443" s="160"/>
    </row>
    <row r="444" spans="1:12" s="158" customFormat="1" ht="13.8" x14ac:dyDescent="0.3">
      <c r="A444" s="247"/>
      <c r="B444" s="24" t="s">
        <v>12</v>
      </c>
      <c r="C444" s="79"/>
      <c r="D444" s="159"/>
      <c r="E444" s="159"/>
      <c r="F444" s="166"/>
      <c r="G444" s="165"/>
      <c r="H444" s="165"/>
      <c r="I444" s="165"/>
      <c r="J444" s="165"/>
      <c r="K444" s="165"/>
      <c r="L444" s="160"/>
    </row>
    <row r="445" spans="1:12" s="158" customFormat="1" ht="13.8" x14ac:dyDescent="0.3">
      <c r="A445" s="247"/>
      <c r="B445" s="24" t="s">
        <v>215</v>
      </c>
      <c r="C445" s="79" t="s">
        <v>33</v>
      </c>
      <c r="D445" s="159">
        <v>1.05</v>
      </c>
      <c r="E445" s="159"/>
      <c r="F445" s="166"/>
      <c r="G445" s="166"/>
      <c r="H445" s="165"/>
      <c r="I445" s="165"/>
      <c r="J445" s="165"/>
      <c r="K445" s="165"/>
      <c r="L445" s="160"/>
    </row>
    <row r="446" spans="1:12" s="158" customFormat="1" thickBot="1" x14ac:dyDescent="0.35">
      <c r="A446" s="401"/>
      <c r="B446" s="98" t="s">
        <v>14</v>
      </c>
      <c r="C446" s="141" t="s">
        <v>15</v>
      </c>
      <c r="D446" s="168">
        <v>0.06</v>
      </c>
      <c r="E446" s="168"/>
      <c r="F446" s="313"/>
      <c r="G446" s="169"/>
      <c r="H446" s="170"/>
      <c r="I446" s="170"/>
      <c r="J446" s="170"/>
      <c r="K446" s="170"/>
      <c r="L446" s="171"/>
    </row>
    <row r="447" spans="1:12" s="322" customFormat="1" ht="27.75" customHeight="1" x14ac:dyDescent="0.3">
      <c r="A447" s="570">
        <v>4</v>
      </c>
      <c r="B447" s="137" t="s">
        <v>298</v>
      </c>
      <c r="C447" s="206" t="s">
        <v>33</v>
      </c>
      <c r="D447" s="206"/>
      <c r="E447" s="138">
        <f>E441</f>
        <v>171</v>
      </c>
      <c r="F447" s="312"/>
      <c r="G447" s="138"/>
      <c r="H447" s="138"/>
      <c r="I447" s="138"/>
      <c r="J447" s="138"/>
      <c r="K447" s="138"/>
      <c r="L447" s="139"/>
    </row>
    <row r="448" spans="1:12" s="322" customFormat="1" ht="13.95" customHeight="1" x14ac:dyDescent="0.3">
      <c r="A448" s="571"/>
      <c r="B448" s="55" t="s">
        <v>8</v>
      </c>
      <c r="C448" s="179" t="s">
        <v>33</v>
      </c>
      <c r="D448" s="179">
        <v>1</v>
      </c>
      <c r="E448" s="56"/>
      <c r="F448" s="297"/>
      <c r="G448" s="56"/>
      <c r="H448" s="56"/>
      <c r="I448" s="56"/>
      <c r="J448" s="56"/>
      <c r="K448" s="56"/>
      <c r="L448" s="57"/>
    </row>
    <row r="449" spans="1:17" s="322" customFormat="1" ht="13.95" customHeight="1" x14ac:dyDescent="0.3">
      <c r="A449" s="571"/>
      <c r="B449" s="55" t="s">
        <v>12</v>
      </c>
      <c r="C449" s="179"/>
      <c r="D449" s="179"/>
      <c r="E449" s="56"/>
      <c r="F449" s="297"/>
      <c r="G449" s="56"/>
      <c r="H449" s="56"/>
      <c r="I449" s="56"/>
      <c r="J449" s="56"/>
      <c r="K449" s="56"/>
      <c r="L449" s="57"/>
    </row>
    <row r="450" spans="1:17" s="322" customFormat="1" ht="13.95" customHeight="1" thickBot="1" x14ac:dyDescent="0.35">
      <c r="A450" s="614"/>
      <c r="B450" s="193" t="s">
        <v>292</v>
      </c>
      <c r="C450" s="179" t="s">
        <v>33</v>
      </c>
      <c r="D450" s="207">
        <v>1.02</v>
      </c>
      <c r="E450" s="143"/>
      <c r="F450" s="313"/>
      <c r="G450" s="143"/>
      <c r="H450" s="143"/>
      <c r="I450" s="143"/>
      <c r="J450" s="143"/>
      <c r="K450" s="143"/>
      <c r="L450" s="144"/>
    </row>
    <row r="451" spans="1:17" s="322" customFormat="1" ht="27.75" customHeight="1" x14ac:dyDescent="0.3">
      <c r="A451" s="570">
        <v>5</v>
      </c>
      <c r="B451" s="137" t="s">
        <v>503</v>
      </c>
      <c r="C451" s="206" t="s">
        <v>33</v>
      </c>
      <c r="D451" s="206"/>
      <c r="E451" s="138">
        <f>E447</f>
        <v>171</v>
      </c>
      <c r="F451" s="312"/>
      <c r="G451" s="138"/>
      <c r="H451" s="138"/>
      <c r="I451" s="138"/>
      <c r="J451" s="138"/>
      <c r="K451" s="138"/>
      <c r="L451" s="139"/>
    </row>
    <row r="452" spans="1:17" s="322" customFormat="1" ht="13.95" customHeight="1" x14ac:dyDescent="0.3">
      <c r="A452" s="571"/>
      <c r="B452" s="55" t="s">
        <v>8</v>
      </c>
      <c r="C452" s="179" t="s">
        <v>33</v>
      </c>
      <c r="D452" s="179">
        <v>1</v>
      </c>
      <c r="E452" s="56"/>
      <c r="F452" s="297"/>
      <c r="G452" s="56"/>
      <c r="H452" s="56"/>
      <c r="I452" s="56"/>
      <c r="J452" s="56"/>
      <c r="K452" s="56"/>
      <c r="L452" s="57"/>
    </row>
    <row r="453" spans="1:17" s="322" customFormat="1" ht="13.95" customHeight="1" x14ac:dyDescent="0.3">
      <c r="A453" s="571"/>
      <c r="B453" s="55" t="s">
        <v>12</v>
      </c>
      <c r="C453" s="179"/>
      <c r="D453" s="179"/>
      <c r="E453" s="56"/>
      <c r="F453" s="297"/>
      <c r="G453" s="56"/>
      <c r="H453" s="56"/>
      <c r="I453" s="56"/>
      <c r="J453" s="56"/>
      <c r="K453" s="56"/>
      <c r="L453" s="57"/>
    </row>
    <row r="454" spans="1:17" s="322" customFormat="1" ht="13.95" customHeight="1" x14ac:dyDescent="0.3">
      <c r="A454" s="615"/>
      <c r="B454" s="616" t="s">
        <v>122</v>
      </c>
      <c r="C454" s="617" t="s">
        <v>27</v>
      </c>
      <c r="D454" s="617">
        <f>(124+80)/2/100*1.02</f>
        <v>1.0404</v>
      </c>
      <c r="E454" s="167"/>
      <c r="F454" s="652"/>
      <c r="G454" s="167"/>
      <c r="H454" s="167"/>
      <c r="I454" s="167"/>
      <c r="J454" s="167"/>
      <c r="K454" s="167"/>
      <c r="L454" s="153"/>
    </row>
    <row r="455" spans="1:17" s="208" customFormat="1" ht="18" thickBot="1" x14ac:dyDescent="0.35">
      <c r="A455" s="571"/>
      <c r="B455" s="618" t="s">
        <v>231</v>
      </c>
      <c r="C455" s="619" t="s">
        <v>469</v>
      </c>
      <c r="D455" s="179">
        <v>1.05</v>
      </c>
      <c r="E455" s="56"/>
      <c r="F455" s="297"/>
      <c r="G455" s="56"/>
      <c r="H455" s="56"/>
      <c r="I455" s="56"/>
      <c r="J455" s="56"/>
      <c r="K455" s="56"/>
      <c r="L455" s="57"/>
    </row>
    <row r="456" spans="1:17" s="216" customFormat="1" ht="29.25" customHeight="1" x14ac:dyDescent="0.3">
      <c r="A456" s="97">
        <v>6</v>
      </c>
      <c r="B456" s="137" t="s">
        <v>240</v>
      </c>
      <c r="C456" s="134" t="s">
        <v>33</v>
      </c>
      <c r="D456" s="134"/>
      <c r="E456" s="138">
        <f>E451</f>
        <v>171</v>
      </c>
      <c r="F456" s="312"/>
      <c r="G456" s="138"/>
      <c r="H456" s="138"/>
      <c r="I456" s="138"/>
      <c r="J456" s="138"/>
      <c r="K456" s="138"/>
      <c r="L456" s="139"/>
    </row>
    <row r="457" spans="1:17" s="69" customFormat="1" ht="13.95" customHeight="1" x14ac:dyDescent="0.3">
      <c r="A457" s="247"/>
      <c r="B457" s="24" t="s">
        <v>8</v>
      </c>
      <c r="C457" s="79" t="s">
        <v>33</v>
      </c>
      <c r="D457" s="79">
        <v>1</v>
      </c>
      <c r="E457" s="58"/>
      <c r="F457" s="297"/>
      <c r="G457" s="58"/>
      <c r="H457" s="58"/>
      <c r="I457" s="58"/>
      <c r="J457" s="58"/>
      <c r="K457" s="58"/>
      <c r="L457" s="57"/>
    </row>
    <row r="458" spans="1:17" s="69" customFormat="1" ht="13.95" customHeight="1" x14ac:dyDescent="0.3">
      <c r="A458" s="247"/>
      <c r="B458" s="24" t="s">
        <v>10</v>
      </c>
      <c r="C458" s="79" t="s">
        <v>15</v>
      </c>
      <c r="D458" s="180">
        <f>(0.95+0.23*10)/100</f>
        <v>3.2500000000000001E-2</v>
      </c>
      <c r="E458" s="58"/>
      <c r="F458" s="297"/>
      <c r="G458" s="58"/>
      <c r="H458" s="58"/>
      <c r="I458" s="58"/>
      <c r="J458" s="58"/>
      <c r="K458" s="58"/>
      <c r="L458" s="57"/>
    </row>
    <row r="459" spans="1:17" s="69" customFormat="1" ht="13.95" customHeight="1" x14ac:dyDescent="0.3">
      <c r="A459" s="247"/>
      <c r="B459" s="24" t="s">
        <v>12</v>
      </c>
      <c r="C459" s="79"/>
      <c r="D459" s="79"/>
      <c r="E459" s="58"/>
      <c r="F459" s="297"/>
      <c r="G459" s="58"/>
      <c r="H459" s="58"/>
      <c r="I459" s="58"/>
      <c r="J459" s="58"/>
      <c r="K459" s="58"/>
      <c r="L459" s="57"/>
    </row>
    <row r="460" spans="1:17" s="184" customFormat="1" ht="18" customHeight="1" x14ac:dyDescent="0.3">
      <c r="A460" s="120"/>
      <c r="B460" s="24" t="s">
        <v>269</v>
      </c>
      <c r="C460" s="121" t="s">
        <v>27</v>
      </c>
      <c r="D460" s="122">
        <f>0.07*1.02</f>
        <v>7.1400000000000005E-2</v>
      </c>
      <c r="E460" s="122"/>
      <c r="F460" s="649"/>
      <c r="G460" s="166"/>
      <c r="H460" s="165"/>
      <c r="I460" s="165"/>
      <c r="J460" s="165"/>
      <c r="K460" s="165"/>
      <c r="L460" s="160"/>
      <c r="M460"/>
      <c r="N460"/>
      <c r="O460"/>
      <c r="P460"/>
      <c r="Q460"/>
    </row>
    <row r="461" spans="1:17" s="184" customFormat="1" ht="18" customHeight="1" x14ac:dyDescent="0.3">
      <c r="A461" s="272"/>
      <c r="B461" s="24" t="s">
        <v>122</v>
      </c>
      <c r="C461" s="273" t="s">
        <v>27</v>
      </c>
      <c r="D461" s="274">
        <v>1.21</v>
      </c>
      <c r="E461" s="274"/>
      <c r="F461" s="297"/>
      <c r="G461" s="166"/>
      <c r="H461" s="201"/>
      <c r="I461" s="201"/>
      <c r="J461" s="201"/>
      <c r="K461" s="201"/>
      <c r="L461" s="160"/>
      <c r="M461"/>
      <c r="N461"/>
      <c r="O461"/>
      <c r="P461"/>
      <c r="Q461"/>
    </row>
    <row r="462" spans="1:17" s="184" customFormat="1" ht="18" customHeight="1" x14ac:dyDescent="0.3">
      <c r="A462" s="272"/>
      <c r="B462" s="24" t="s">
        <v>138</v>
      </c>
      <c r="C462" s="273" t="s">
        <v>228</v>
      </c>
      <c r="D462" s="274">
        <v>0.23200000000000001</v>
      </c>
      <c r="E462" s="274"/>
      <c r="F462" s="297"/>
      <c r="G462" s="166"/>
      <c r="H462" s="201"/>
      <c r="I462" s="201"/>
      <c r="J462" s="201"/>
      <c r="K462" s="201"/>
      <c r="L462" s="160"/>
      <c r="M462"/>
      <c r="N462"/>
      <c r="O462"/>
      <c r="P462"/>
      <c r="Q462"/>
    </row>
    <row r="463" spans="1:17" s="69" customFormat="1" ht="13.95" customHeight="1" x14ac:dyDescent="0.3">
      <c r="A463" s="247"/>
      <c r="B463" s="24" t="s">
        <v>470</v>
      </c>
      <c r="C463" s="79" t="s">
        <v>33</v>
      </c>
      <c r="D463" s="79">
        <v>1.03</v>
      </c>
      <c r="E463" s="58"/>
      <c r="F463" s="297"/>
      <c r="G463" s="56"/>
      <c r="H463" s="58"/>
      <c r="I463" s="58"/>
      <c r="J463" s="58"/>
      <c r="K463" s="58"/>
      <c r="L463" s="57"/>
    </row>
    <row r="464" spans="1:17" s="69" customFormat="1" ht="13.95" customHeight="1" thickBot="1" x14ac:dyDescent="0.35">
      <c r="A464" s="279"/>
      <c r="B464" s="98" t="s">
        <v>14</v>
      </c>
      <c r="C464" s="141" t="s">
        <v>15</v>
      </c>
      <c r="D464" s="141">
        <v>0.11</v>
      </c>
      <c r="E464" s="142"/>
      <c r="F464" s="313"/>
      <c r="G464" s="143"/>
      <c r="H464" s="142"/>
      <c r="I464" s="142"/>
      <c r="J464" s="142"/>
      <c r="K464" s="142"/>
      <c r="L464" s="144"/>
    </row>
    <row r="465" spans="1:14" s="69" customFormat="1" ht="27.6" x14ac:dyDescent="0.3">
      <c r="A465" s="555">
        <v>7</v>
      </c>
      <c r="B465" s="137" t="s">
        <v>219</v>
      </c>
      <c r="C465" s="134" t="s">
        <v>33</v>
      </c>
      <c r="D465" s="134"/>
      <c r="E465" s="138">
        <f>E447</f>
        <v>171</v>
      </c>
      <c r="F465" s="312"/>
      <c r="G465" s="138"/>
      <c r="H465" s="138"/>
      <c r="I465" s="138"/>
      <c r="J465" s="138"/>
      <c r="K465" s="138"/>
      <c r="L465" s="139"/>
    </row>
    <row r="466" spans="1:14" s="69" customFormat="1" ht="13.95" customHeight="1" x14ac:dyDescent="0.3">
      <c r="A466" s="247"/>
      <c r="B466" s="24" t="s">
        <v>8</v>
      </c>
      <c r="C466" s="79" t="s">
        <v>33</v>
      </c>
      <c r="D466" s="79">
        <v>1</v>
      </c>
      <c r="E466" s="58"/>
      <c r="F466" s="297"/>
      <c r="G466" s="58"/>
      <c r="H466" s="58"/>
      <c r="I466" s="58"/>
      <c r="J466" s="58"/>
      <c r="K466" s="58"/>
      <c r="L466" s="57"/>
    </row>
    <row r="467" spans="1:14" s="69" customFormat="1" ht="13.95" customHeight="1" x14ac:dyDescent="0.3">
      <c r="A467" s="247"/>
      <c r="B467" s="24" t="s">
        <v>10</v>
      </c>
      <c r="C467" s="79" t="s">
        <v>15</v>
      </c>
      <c r="D467" s="79">
        <v>1.7000000000000001E-2</v>
      </c>
      <c r="E467" s="58"/>
      <c r="F467" s="297"/>
      <c r="G467" s="58"/>
      <c r="H467" s="58"/>
      <c r="I467" s="58"/>
      <c r="J467" s="58"/>
      <c r="K467" s="58"/>
      <c r="L467" s="57"/>
    </row>
    <row r="468" spans="1:14" s="69" customFormat="1" ht="13.95" customHeight="1" x14ac:dyDescent="0.3">
      <c r="A468" s="247"/>
      <c r="B468" s="24" t="s">
        <v>12</v>
      </c>
      <c r="C468" s="79"/>
      <c r="D468" s="79"/>
      <c r="E468" s="58"/>
      <c r="F468" s="297"/>
      <c r="G468" s="58"/>
      <c r="H468" s="58"/>
      <c r="I468" s="58"/>
      <c r="J468" s="58"/>
      <c r="K468" s="58"/>
      <c r="L468" s="57"/>
    </row>
    <row r="469" spans="1:14" s="69" customFormat="1" ht="42.75" customHeight="1" x14ac:dyDescent="0.3">
      <c r="A469" s="247"/>
      <c r="B469" s="24" t="s">
        <v>214</v>
      </c>
      <c r="C469" s="79" t="s">
        <v>13</v>
      </c>
      <c r="D469" s="79">
        <v>3.3</v>
      </c>
      <c r="E469" s="58"/>
      <c r="F469" s="297"/>
      <c r="G469" s="56"/>
      <c r="H469" s="58"/>
      <c r="I469" s="58"/>
      <c r="J469" s="58"/>
      <c r="K469" s="58"/>
      <c r="L469" s="57"/>
      <c r="M469" s="126"/>
    </row>
    <row r="470" spans="1:14" s="69" customFormat="1" ht="13.95" customHeight="1" thickBot="1" x14ac:dyDescent="0.35">
      <c r="A470" s="279"/>
      <c r="B470" s="98" t="s">
        <v>14</v>
      </c>
      <c r="C470" s="141" t="s">
        <v>15</v>
      </c>
      <c r="D470" s="141">
        <v>0.22</v>
      </c>
      <c r="E470" s="142"/>
      <c r="F470" s="313"/>
      <c r="G470" s="143"/>
      <c r="H470" s="142"/>
      <c r="I470" s="142"/>
      <c r="J470" s="142"/>
      <c r="K470" s="142"/>
      <c r="L470" s="144"/>
    </row>
    <row r="471" spans="1:14" s="69" customFormat="1" ht="27.6" customHeight="1" x14ac:dyDescent="0.3">
      <c r="A471" s="97">
        <v>8</v>
      </c>
      <c r="B471" s="137" t="s">
        <v>224</v>
      </c>
      <c r="C471" s="134" t="s">
        <v>33</v>
      </c>
      <c r="D471" s="134"/>
      <c r="E471" s="138">
        <f>E465</f>
        <v>171</v>
      </c>
      <c r="F471" s="312"/>
      <c r="G471" s="138"/>
      <c r="H471" s="138"/>
      <c r="I471" s="138"/>
      <c r="J471" s="138"/>
      <c r="K471" s="138"/>
      <c r="L471" s="139"/>
    </row>
    <row r="472" spans="1:14" s="69" customFormat="1" ht="13.95" customHeight="1" x14ac:dyDescent="0.3">
      <c r="A472" s="247"/>
      <c r="B472" s="24" t="s">
        <v>8</v>
      </c>
      <c r="C472" s="79" t="s">
        <v>33</v>
      </c>
      <c r="D472" s="79">
        <v>1</v>
      </c>
      <c r="E472" s="58"/>
      <c r="F472" s="297"/>
      <c r="G472" s="56"/>
      <c r="H472" s="58"/>
      <c r="I472" s="58"/>
      <c r="J472" s="58"/>
      <c r="K472" s="58"/>
      <c r="L472" s="57"/>
    </row>
    <row r="473" spans="1:14" s="69" customFormat="1" ht="13.95" customHeight="1" x14ac:dyDescent="0.3">
      <c r="A473" s="247"/>
      <c r="B473" s="24" t="s">
        <v>10</v>
      </c>
      <c r="C473" s="79" t="s">
        <v>15</v>
      </c>
      <c r="D473" s="79">
        <f>0.08</f>
        <v>0.08</v>
      </c>
      <c r="E473" s="58"/>
      <c r="F473" s="297"/>
      <c r="G473" s="56"/>
      <c r="H473" s="58"/>
      <c r="I473" s="58"/>
      <c r="J473" s="58"/>
      <c r="K473" s="58"/>
      <c r="L473" s="57"/>
    </row>
    <row r="474" spans="1:14" s="69" customFormat="1" ht="13.95" customHeight="1" x14ac:dyDescent="0.3">
      <c r="A474" s="247"/>
      <c r="B474" s="24" t="s">
        <v>12</v>
      </c>
      <c r="C474" s="79"/>
      <c r="D474" s="79"/>
      <c r="E474" s="58"/>
      <c r="F474" s="297"/>
      <c r="G474" s="56"/>
      <c r="H474" s="58"/>
      <c r="I474" s="58"/>
      <c r="J474" s="58"/>
      <c r="K474" s="58"/>
      <c r="L474" s="57"/>
    </row>
    <row r="475" spans="1:14" s="69" customFormat="1" ht="18.75" customHeight="1" x14ac:dyDescent="0.3">
      <c r="A475" s="247"/>
      <c r="B475" s="24" t="s">
        <v>299</v>
      </c>
      <c r="C475" s="79" t="s">
        <v>33</v>
      </c>
      <c r="D475" s="79">
        <f>1.05</f>
        <v>1.05</v>
      </c>
      <c r="E475" s="58"/>
      <c r="F475" s="297"/>
      <c r="G475" s="56"/>
      <c r="H475" s="58"/>
      <c r="I475" s="58"/>
      <c r="J475" s="58"/>
      <c r="K475" s="58"/>
      <c r="L475" s="57"/>
      <c r="N475" s="69" t="s">
        <v>329</v>
      </c>
    </row>
    <row r="476" spans="1:14" s="69" customFormat="1" ht="13.95" customHeight="1" x14ac:dyDescent="0.3">
      <c r="A476" s="247"/>
      <c r="B476" s="24" t="s">
        <v>328</v>
      </c>
      <c r="C476" s="79" t="s">
        <v>13</v>
      </c>
      <c r="D476" s="79">
        <v>5</v>
      </c>
      <c r="E476" s="58"/>
      <c r="F476" s="297"/>
      <c r="G476" s="56"/>
      <c r="H476" s="58"/>
      <c r="I476" s="58"/>
      <c r="J476" s="58"/>
      <c r="K476" s="58"/>
      <c r="L476" s="57"/>
    </row>
    <row r="477" spans="1:14" s="69" customFormat="1" ht="13.95" customHeight="1" x14ac:dyDescent="0.3">
      <c r="A477" s="247"/>
      <c r="B477" s="24" t="s">
        <v>39</v>
      </c>
      <c r="C477" s="79" t="s">
        <v>13</v>
      </c>
      <c r="D477" s="79">
        <v>0.15</v>
      </c>
      <c r="E477" s="58"/>
      <c r="F477" s="297"/>
      <c r="G477" s="56"/>
      <c r="H477" s="58"/>
      <c r="I477" s="58"/>
      <c r="J477" s="58"/>
      <c r="K477" s="58"/>
      <c r="L477" s="57"/>
    </row>
    <row r="478" spans="1:14" s="217" customFormat="1" ht="13.95" customHeight="1" thickBot="1" x14ac:dyDescent="0.35">
      <c r="A478" s="279"/>
      <c r="B478" s="98" t="s">
        <v>14</v>
      </c>
      <c r="C478" s="141" t="s">
        <v>15</v>
      </c>
      <c r="D478" s="141">
        <f>0.19</f>
        <v>0.19</v>
      </c>
      <c r="E478" s="142"/>
      <c r="F478" s="313"/>
      <c r="G478" s="143"/>
      <c r="H478" s="142"/>
      <c r="I478" s="142"/>
      <c r="J478" s="142"/>
      <c r="K478" s="142"/>
      <c r="L478" s="144"/>
    </row>
    <row r="479" spans="1:14" s="69" customFormat="1" ht="14.4" customHeight="1" thickBot="1" x14ac:dyDescent="0.35">
      <c r="A479" s="566"/>
      <c r="B479" s="131" t="s">
        <v>300</v>
      </c>
      <c r="C479" s="131"/>
      <c r="D479" s="131"/>
      <c r="E479" s="132"/>
      <c r="F479" s="132"/>
      <c r="G479" s="132"/>
      <c r="H479" s="132"/>
      <c r="I479" s="132"/>
      <c r="J479" s="132"/>
      <c r="K479" s="132"/>
      <c r="L479" s="133"/>
    </row>
    <row r="480" spans="1:14" s="158" customFormat="1" ht="27.75" customHeight="1" x14ac:dyDescent="0.3">
      <c r="A480" s="555">
        <v>1</v>
      </c>
      <c r="B480" s="137" t="s">
        <v>295</v>
      </c>
      <c r="C480" s="134" t="s">
        <v>33</v>
      </c>
      <c r="D480" s="161"/>
      <c r="E480" s="162">
        <v>278.39999999999998</v>
      </c>
      <c r="F480" s="163"/>
      <c r="G480" s="163"/>
      <c r="H480" s="163"/>
      <c r="I480" s="163"/>
      <c r="J480" s="163"/>
      <c r="K480" s="163"/>
      <c r="L480" s="164"/>
    </row>
    <row r="481" spans="1:17" s="158" customFormat="1" ht="13.8" x14ac:dyDescent="0.3">
      <c r="A481" s="247"/>
      <c r="B481" s="24" t="s">
        <v>8</v>
      </c>
      <c r="C481" s="79" t="s">
        <v>33</v>
      </c>
      <c r="D481" s="159">
        <v>1</v>
      </c>
      <c r="E481" s="159"/>
      <c r="F481" s="166"/>
      <c r="G481" s="165"/>
      <c r="H481" s="165"/>
      <c r="I481" s="165"/>
      <c r="J481" s="165"/>
      <c r="K481" s="165"/>
      <c r="L481" s="160"/>
    </row>
    <row r="482" spans="1:17" s="158" customFormat="1" ht="13.8" x14ac:dyDescent="0.3">
      <c r="A482" s="247"/>
      <c r="B482" s="24" t="s">
        <v>10</v>
      </c>
      <c r="C482" s="79" t="s">
        <v>15</v>
      </c>
      <c r="D482" s="159">
        <v>1.7000000000000001E-2</v>
      </c>
      <c r="E482" s="159"/>
      <c r="F482" s="166"/>
      <c r="G482" s="165"/>
      <c r="H482" s="165"/>
      <c r="I482" s="165"/>
      <c r="J482" s="58"/>
      <c r="K482" s="165"/>
      <c r="L482" s="160"/>
    </row>
    <row r="483" spans="1:17" s="158" customFormat="1" ht="13.8" x14ac:dyDescent="0.3">
      <c r="A483" s="247"/>
      <c r="B483" s="24" t="s">
        <v>12</v>
      </c>
      <c r="C483" s="79"/>
      <c r="D483" s="159"/>
      <c r="E483" s="159"/>
      <c r="F483" s="166"/>
      <c r="G483" s="165"/>
      <c r="H483" s="165"/>
      <c r="I483" s="165"/>
      <c r="J483" s="165"/>
      <c r="K483" s="165"/>
      <c r="L483" s="160"/>
    </row>
    <row r="484" spans="1:17" s="158" customFormat="1" ht="27.6" x14ac:dyDescent="0.3">
      <c r="A484" s="560"/>
      <c r="B484" s="150" t="s">
        <v>226</v>
      </c>
      <c r="C484" s="151" t="s">
        <v>33</v>
      </c>
      <c r="D484" s="152">
        <v>1.1100000000000001</v>
      </c>
      <c r="E484" s="152"/>
      <c r="F484" s="652"/>
      <c r="G484" s="152"/>
      <c r="H484" s="201"/>
      <c r="I484" s="201"/>
      <c r="J484" s="201"/>
      <c r="K484" s="201"/>
      <c r="L484" s="202"/>
    </row>
    <row r="485" spans="1:17" s="158" customFormat="1" thickBot="1" x14ac:dyDescent="0.35">
      <c r="A485" s="279"/>
      <c r="B485" s="98" t="s">
        <v>14</v>
      </c>
      <c r="C485" s="141" t="s">
        <v>15</v>
      </c>
      <c r="D485" s="168">
        <v>0.22</v>
      </c>
      <c r="E485" s="168"/>
      <c r="F485" s="313"/>
      <c r="G485" s="169"/>
      <c r="H485" s="170"/>
      <c r="I485" s="170"/>
      <c r="J485" s="170"/>
      <c r="K485" s="170"/>
      <c r="L485" s="171"/>
    </row>
    <row r="486" spans="1:17" s="69" customFormat="1" ht="29.25" customHeight="1" x14ac:dyDescent="0.3">
      <c r="A486" s="97">
        <v>2</v>
      </c>
      <c r="B486" s="137" t="s">
        <v>301</v>
      </c>
      <c r="C486" s="134" t="s">
        <v>33</v>
      </c>
      <c r="D486" s="134"/>
      <c r="E486" s="138">
        <f>E480</f>
        <v>278.39999999999998</v>
      </c>
      <c r="F486" s="312"/>
      <c r="G486" s="138"/>
      <c r="H486" s="138"/>
      <c r="I486" s="138"/>
      <c r="J486" s="138"/>
      <c r="K486" s="138"/>
      <c r="L486" s="139"/>
    </row>
    <row r="487" spans="1:17" s="69" customFormat="1" ht="13.95" customHeight="1" x14ac:dyDescent="0.3">
      <c r="A487" s="247"/>
      <c r="B487" s="24" t="s">
        <v>8</v>
      </c>
      <c r="C487" s="79" t="s">
        <v>33</v>
      </c>
      <c r="D487" s="79">
        <v>1</v>
      </c>
      <c r="E487" s="58"/>
      <c r="F487" s="297"/>
      <c r="G487" s="58"/>
      <c r="H487" s="58"/>
      <c r="I487" s="58"/>
      <c r="J487" s="58"/>
      <c r="K487" s="58"/>
      <c r="L487" s="57"/>
      <c r="N487" s="118"/>
    </row>
    <row r="488" spans="1:17" s="69" customFormat="1" ht="13.95" customHeight="1" x14ac:dyDescent="0.3">
      <c r="A488" s="247"/>
      <c r="B488" s="24" t="s">
        <v>10</v>
      </c>
      <c r="C488" s="79" t="s">
        <v>15</v>
      </c>
      <c r="D488" s="180">
        <v>1</v>
      </c>
      <c r="E488" s="58"/>
      <c r="F488" s="297"/>
      <c r="G488" s="58"/>
      <c r="H488" s="58"/>
      <c r="I488" s="58"/>
      <c r="J488" s="58"/>
      <c r="K488" s="58"/>
      <c r="L488" s="57"/>
    </row>
    <row r="489" spans="1:17" s="69" customFormat="1" ht="13.95" customHeight="1" x14ac:dyDescent="0.3">
      <c r="A489" s="247"/>
      <c r="B489" s="24" t="s">
        <v>12</v>
      </c>
      <c r="C489" s="79"/>
      <c r="D489" s="79"/>
      <c r="E489" s="58"/>
      <c r="F489" s="297"/>
      <c r="G489" s="58"/>
      <c r="H489" s="58"/>
      <c r="I489" s="58"/>
      <c r="J489" s="58"/>
      <c r="K489" s="58"/>
      <c r="L489" s="57"/>
    </row>
    <row r="490" spans="1:17" s="69" customFormat="1" ht="13.95" customHeight="1" x14ac:dyDescent="0.3">
      <c r="A490" s="247"/>
      <c r="B490" s="24" t="s">
        <v>269</v>
      </c>
      <c r="C490" s="79" t="s">
        <v>27</v>
      </c>
      <c r="D490" s="79">
        <f>(2.04+0.51*14)/100</f>
        <v>9.1799999999999993E-2</v>
      </c>
      <c r="E490" s="122"/>
      <c r="F490" s="649"/>
      <c r="G490" s="166"/>
      <c r="H490" s="165"/>
      <c r="I490" s="165"/>
      <c r="J490" s="165"/>
      <c r="K490" s="58"/>
      <c r="L490" s="57"/>
    </row>
    <row r="491" spans="1:17" s="184" customFormat="1" ht="18" customHeight="1" x14ac:dyDescent="0.3">
      <c r="A491" s="272"/>
      <c r="B491" s="24" t="s">
        <v>122</v>
      </c>
      <c r="C491" s="273" t="s">
        <v>27</v>
      </c>
      <c r="D491" s="218">
        <f>0.09*1.23</f>
        <v>0.11069999999999999</v>
      </c>
      <c r="E491" s="274"/>
      <c r="F491" s="297"/>
      <c r="G491" s="166"/>
      <c r="H491" s="201"/>
      <c r="I491" s="201"/>
      <c r="J491" s="201"/>
      <c r="K491" s="201"/>
      <c r="L491" s="160"/>
      <c r="M491"/>
      <c r="N491"/>
      <c r="O491"/>
      <c r="P491"/>
      <c r="Q491"/>
    </row>
    <row r="492" spans="1:17" s="184" customFormat="1" ht="18" customHeight="1" x14ac:dyDescent="0.3">
      <c r="A492" s="272"/>
      <c r="B492" s="24" t="s">
        <v>138</v>
      </c>
      <c r="C492" s="273" t="s">
        <v>228</v>
      </c>
      <c r="D492" s="218">
        <f>0.09*0.306</f>
        <v>2.7539999999999999E-2</v>
      </c>
      <c r="E492" s="274"/>
      <c r="F492" s="297"/>
      <c r="G492" s="166"/>
      <c r="H492" s="201"/>
      <c r="I492" s="201"/>
      <c r="J492" s="201"/>
      <c r="K492" s="201"/>
      <c r="L492" s="160"/>
      <c r="M492"/>
      <c r="N492"/>
      <c r="O492"/>
      <c r="P492"/>
      <c r="Q492"/>
    </row>
    <row r="493" spans="1:17" s="69" customFormat="1" ht="13.95" customHeight="1" x14ac:dyDescent="0.3">
      <c r="A493" s="247"/>
      <c r="B493" s="24" t="s">
        <v>470</v>
      </c>
      <c r="C493" s="79" t="s">
        <v>33</v>
      </c>
      <c r="D493" s="79">
        <v>1.03</v>
      </c>
      <c r="E493" s="58"/>
      <c r="F493" s="297"/>
      <c r="G493" s="56"/>
      <c r="H493" s="58"/>
      <c r="I493" s="58"/>
      <c r="J493" s="58"/>
      <c r="K493" s="58"/>
      <c r="L493" s="57"/>
    </row>
    <row r="494" spans="1:17" s="69" customFormat="1" ht="13.95" customHeight="1" thickBot="1" x14ac:dyDescent="0.35">
      <c r="A494" s="279"/>
      <c r="B494" s="98" t="s">
        <v>14</v>
      </c>
      <c r="C494" s="141" t="s">
        <v>15</v>
      </c>
      <c r="D494" s="141">
        <v>1</v>
      </c>
      <c r="E494" s="142"/>
      <c r="F494" s="313"/>
      <c r="G494" s="143"/>
      <c r="H494" s="142"/>
      <c r="I494" s="142"/>
      <c r="J494" s="142"/>
      <c r="K494" s="142"/>
      <c r="L494" s="144"/>
    </row>
    <row r="495" spans="1:17" s="69" customFormat="1" ht="27.6" x14ac:dyDescent="0.3">
      <c r="A495" s="97">
        <v>3</v>
      </c>
      <c r="B495" s="137" t="s">
        <v>219</v>
      </c>
      <c r="C495" s="134" t="s">
        <v>33</v>
      </c>
      <c r="D495" s="134"/>
      <c r="E495" s="138">
        <f>E486</f>
        <v>278.39999999999998</v>
      </c>
      <c r="F495" s="312"/>
      <c r="G495" s="138"/>
      <c r="H495" s="138"/>
      <c r="I495" s="138"/>
      <c r="J495" s="138"/>
      <c r="K495" s="138"/>
      <c r="L495" s="139"/>
    </row>
    <row r="496" spans="1:17" s="69" customFormat="1" ht="13.95" customHeight="1" x14ac:dyDescent="0.3">
      <c r="A496" s="247"/>
      <c r="B496" s="24" t="s">
        <v>8</v>
      </c>
      <c r="C496" s="79" t="s">
        <v>33</v>
      </c>
      <c r="D496" s="79">
        <v>1</v>
      </c>
      <c r="E496" s="58"/>
      <c r="F496" s="297"/>
      <c r="G496" s="58"/>
      <c r="H496" s="58"/>
      <c r="I496" s="58"/>
      <c r="J496" s="58"/>
      <c r="K496" s="58"/>
      <c r="L496" s="57"/>
    </row>
    <row r="497" spans="1:14" s="69" customFormat="1" ht="13.95" customHeight="1" x14ac:dyDescent="0.3">
      <c r="A497" s="247"/>
      <c r="B497" s="24" t="s">
        <v>10</v>
      </c>
      <c r="C497" s="79" t="s">
        <v>15</v>
      </c>
      <c r="D497" s="79">
        <v>1.7000000000000001E-2</v>
      </c>
      <c r="E497" s="58"/>
      <c r="F497" s="297"/>
      <c r="G497" s="58"/>
      <c r="H497" s="58"/>
      <c r="I497" s="58"/>
      <c r="J497" s="58"/>
      <c r="K497" s="58"/>
      <c r="L497" s="57"/>
    </row>
    <row r="498" spans="1:14" s="69" customFormat="1" ht="13.95" customHeight="1" x14ac:dyDescent="0.3">
      <c r="A498" s="247"/>
      <c r="B498" s="24" t="s">
        <v>12</v>
      </c>
      <c r="C498" s="79"/>
      <c r="D498" s="79"/>
      <c r="E498" s="58"/>
      <c r="F498" s="297"/>
      <c r="G498" s="58"/>
      <c r="H498" s="58"/>
      <c r="I498" s="58"/>
      <c r="J498" s="58"/>
      <c r="K498" s="58"/>
      <c r="L498" s="57"/>
    </row>
    <row r="499" spans="1:14" s="69" customFormat="1" ht="42.75" customHeight="1" x14ac:dyDescent="0.3">
      <c r="A499" s="247"/>
      <c r="B499" s="24" t="s">
        <v>214</v>
      </c>
      <c r="C499" s="79" t="s">
        <v>13</v>
      </c>
      <c r="D499" s="79">
        <v>3.3</v>
      </c>
      <c r="E499" s="58"/>
      <c r="F499" s="297"/>
      <c r="G499" s="56"/>
      <c r="H499" s="58"/>
      <c r="I499" s="58"/>
      <c r="J499" s="58"/>
      <c r="K499" s="58"/>
      <c r="L499" s="57"/>
      <c r="M499" s="126"/>
    </row>
    <row r="500" spans="1:14" s="69" customFormat="1" ht="13.95" customHeight="1" thickBot="1" x14ac:dyDescent="0.35">
      <c r="A500" s="279"/>
      <c r="B500" s="98" t="s">
        <v>14</v>
      </c>
      <c r="C500" s="141" t="s">
        <v>15</v>
      </c>
      <c r="D500" s="141">
        <v>0.22</v>
      </c>
      <c r="E500" s="142"/>
      <c r="F500" s="313"/>
      <c r="G500" s="143"/>
      <c r="H500" s="142"/>
      <c r="I500" s="142"/>
      <c r="J500" s="142"/>
      <c r="K500" s="142"/>
      <c r="L500" s="144"/>
    </row>
    <row r="501" spans="1:14" s="69" customFormat="1" ht="27.6" customHeight="1" x14ac:dyDescent="0.3">
      <c r="A501" s="97">
        <v>4</v>
      </c>
      <c r="B501" s="137" t="s">
        <v>224</v>
      </c>
      <c r="C501" s="134" t="s">
        <v>33</v>
      </c>
      <c r="D501" s="134"/>
      <c r="E501" s="138">
        <f>E480</f>
        <v>278.39999999999998</v>
      </c>
      <c r="F501" s="312"/>
      <c r="G501" s="138"/>
      <c r="H501" s="138"/>
      <c r="I501" s="138"/>
      <c r="J501" s="138"/>
      <c r="K501" s="138"/>
      <c r="L501" s="139"/>
    </row>
    <row r="502" spans="1:14" s="69" customFormat="1" ht="13.95" customHeight="1" x14ac:dyDescent="0.3">
      <c r="A502" s="247"/>
      <c r="B502" s="24" t="s">
        <v>8</v>
      </c>
      <c r="C502" s="79" t="s">
        <v>33</v>
      </c>
      <c r="D502" s="79">
        <v>1</v>
      </c>
      <c r="E502" s="58"/>
      <c r="F502" s="297"/>
      <c r="G502" s="56"/>
      <c r="H502" s="58"/>
      <c r="I502" s="58"/>
      <c r="J502" s="58"/>
      <c r="K502" s="58"/>
      <c r="L502" s="57"/>
    </row>
    <row r="503" spans="1:14" s="69" customFormat="1" ht="13.95" customHeight="1" x14ac:dyDescent="0.3">
      <c r="A503" s="247"/>
      <c r="B503" s="24" t="s">
        <v>10</v>
      </c>
      <c r="C503" s="79" t="s">
        <v>15</v>
      </c>
      <c r="D503" s="79">
        <f>0.08</f>
        <v>0.08</v>
      </c>
      <c r="E503" s="58"/>
      <c r="F503" s="297"/>
      <c r="G503" s="56"/>
      <c r="H503" s="58"/>
      <c r="I503" s="58"/>
      <c r="J503" s="58"/>
      <c r="K503" s="58"/>
      <c r="L503" s="57"/>
    </row>
    <row r="504" spans="1:14" s="69" customFormat="1" ht="13.95" customHeight="1" x14ac:dyDescent="0.3">
      <c r="A504" s="247"/>
      <c r="B504" s="24" t="s">
        <v>12</v>
      </c>
      <c r="C504" s="79"/>
      <c r="D504" s="79"/>
      <c r="E504" s="58"/>
      <c r="F504" s="297"/>
      <c r="G504" s="56"/>
      <c r="H504" s="58"/>
      <c r="I504" s="58"/>
      <c r="J504" s="58"/>
      <c r="K504" s="58"/>
      <c r="L504" s="57"/>
    </row>
    <row r="505" spans="1:14" s="69" customFormat="1" ht="28.5" customHeight="1" x14ac:dyDescent="0.3">
      <c r="A505" s="247"/>
      <c r="B505" s="24" t="s">
        <v>299</v>
      </c>
      <c r="C505" s="79" t="s">
        <v>33</v>
      </c>
      <c r="D505" s="79">
        <f>1.05</f>
        <v>1.05</v>
      </c>
      <c r="E505" s="58"/>
      <c r="F505" s="297"/>
      <c r="G505" s="56"/>
      <c r="H505" s="58"/>
      <c r="I505" s="58"/>
      <c r="J505" s="58"/>
      <c r="K505" s="58"/>
      <c r="L505" s="57"/>
      <c r="N505" s="69" t="s">
        <v>329</v>
      </c>
    </row>
    <row r="506" spans="1:14" s="69" customFormat="1" ht="13.95" customHeight="1" x14ac:dyDescent="0.3">
      <c r="A506" s="247"/>
      <c r="B506" s="24" t="s">
        <v>328</v>
      </c>
      <c r="C506" s="79" t="s">
        <v>13</v>
      </c>
      <c r="D506" s="79">
        <v>5</v>
      </c>
      <c r="E506" s="58"/>
      <c r="F506" s="297"/>
      <c r="G506" s="56"/>
      <c r="H506" s="58"/>
      <c r="I506" s="58"/>
      <c r="J506" s="58"/>
      <c r="K506" s="58"/>
      <c r="L506" s="57"/>
    </row>
    <row r="507" spans="1:14" s="69" customFormat="1" ht="13.95" customHeight="1" x14ac:dyDescent="0.3">
      <c r="A507" s="247"/>
      <c r="B507" s="24" t="s">
        <v>39</v>
      </c>
      <c r="C507" s="79" t="s">
        <v>13</v>
      </c>
      <c r="D507" s="79">
        <v>0.15</v>
      </c>
      <c r="E507" s="58"/>
      <c r="F507" s="297"/>
      <c r="G507" s="56"/>
      <c r="H507" s="58"/>
      <c r="I507" s="58"/>
      <c r="J507" s="58"/>
      <c r="K507" s="58"/>
      <c r="L507" s="57"/>
    </row>
    <row r="508" spans="1:14" s="69" customFormat="1" ht="13.95" customHeight="1" thickBot="1" x14ac:dyDescent="0.35">
      <c r="A508" s="279"/>
      <c r="B508" s="98" t="s">
        <v>14</v>
      </c>
      <c r="C508" s="141" t="s">
        <v>15</v>
      </c>
      <c r="D508" s="141">
        <f>0.19</f>
        <v>0.19</v>
      </c>
      <c r="E508" s="142"/>
      <c r="F508" s="313"/>
      <c r="G508" s="143"/>
      <c r="H508" s="142"/>
      <c r="I508" s="142"/>
      <c r="J508" s="142"/>
      <c r="K508" s="142"/>
      <c r="L508" s="144"/>
    </row>
    <row r="509" spans="1:14" s="69" customFormat="1" ht="13.95" customHeight="1" thickBot="1" x14ac:dyDescent="0.35">
      <c r="A509" s="568"/>
      <c r="B509" s="282" t="s">
        <v>306</v>
      </c>
      <c r="C509" s="154"/>
      <c r="D509" s="154"/>
      <c r="E509" s="155"/>
      <c r="F509" s="651"/>
      <c r="G509" s="156"/>
      <c r="H509" s="155"/>
      <c r="I509" s="155"/>
      <c r="J509" s="155"/>
      <c r="K509" s="155"/>
      <c r="L509" s="157"/>
    </row>
    <row r="510" spans="1:14" s="69" customFormat="1" ht="39.75" customHeight="1" x14ac:dyDescent="0.3">
      <c r="A510" s="97">
        <v>1</v>
      </c>
      <c r="B510" s="137" t="s">
        <v>305</v>
      </c>
      <c r="C510" s="134" t="s">
        <v>7</v>
      </c>
      <c r="D510" s="134"/>
      <c r="E510" s="138">
        <v>358</v>
      </c>
      <c r="F510" s="312"/>
      <c r="G510" s="138"/>
      <c r="H510" s="138"/>
      <c r="I510" s="138"/>
      <c r="J510" s="138"/>
      <c r="K510" s="138"/>
      <c r="L510" s="139"/>
    </row>
    <row r="511" spans="1:14" s="69" customFormat="1" ht="13.95" customHeight="1" x14ac:dyDescent="0.3">
      <c r="A511" s="247"/>
      <c r="B511" s="24" t="s">
        <v>8</v>
      </c>
      <c r="C511" s="79" t="s">
        <v>7</v>
      </c>
      <c r="D511" s="79">
        <v>1</v>
      </c>
      <c r="E511" s="58"/>
      <c r="F511" s="297"/>
      <c r="G511" s="56"/>
      <c r="H511" s="58"/>
      <c r="I511" s="58"/>
      <c r="J511" s="58"/>
      <c r="K511" s="58"/>
      <c r="L511" s="57"/>
    </row>
    <row r="512" spans="1:14" s="69" customFormat="1" ht="13.95" customHeight="1" x14ac:dyDescent="0.3">
      <c r="A512" s="247"/>
      <c r="B512" s="24" t="s">
        <v>10</v>
      </c>
      <c r="C512" s="79" t="s">
        <v>15</v>
      </c>
      <c r="D512" s="79">
        <f>0.08*0.1</f>
        <v>8.0000000000000002E-3</v>
      </c>
      <c r="E512" s="58"/>
      <c r="F512" s="297"/>
      <c r="G512" s="56"/>
      <c r="H512" s="58"/>
      <c r="I512" s="58"/>
      <c r="J512" s="58"/>
      <c r="K512" s="58"/>
      <c r="L512" s="57"/>
    </row>
    <row r="513" spans="1:12" s="69" customFormat="1" ht="13.95" customHeight="1" x14ac:dyDescent="0.3">
      <c r="A513" s="247"/>
      <c r="B513" s="24" t="s">
        <v>12</v>
      </c>
      <c r="C513" s="79"/>
      <c r="D513" s="79"/>
      <c r="E513" s="58"/>
      <c r="F513" s="297"/>
      <c r="G513" s="56"/>
      <c r="H513" s="58"/>
      <c r="I513" s="58"/>
      <c r="J513" s="58"/>
      <c r="K513" s="58"/>
      <c r="L513" s="57"/>
    </row>
    <row r="514" spans="1:12" s="69" customFormat="1" ht="13.95" customHeight="1" x14ac:dyDescent="0.3">
      <c r="A514" s="247"/>
      <c r="B514" s="24" t="s">
        <v>299</v>
      </c>
      <c r="C514" s="79" t="s">
        <v>33</v>
      </c>
      <c r="D514" s="79">
        <f>1.05*0.1</f>
        <v>0.10500000000000001</v>
      </c>
      <c r="E514" s="58"/>
      <c r="F514" s="297"/>
      <c r="G514" s="56"/>
      <c r="H514" s="58"/>
      <c r="I514" s="58"/>
      <c r="J514" s="58"/>
      <c r="K514" s="58"/>
      <c r="L514" s="57"/>
    </row>
    <row r="515" spans="1:12" s="69" customFormat="1" ht="13.95" customHeight="1" x14ac:dyDescent="0.3">
      <c r="A515" s="247"/>
      <c r="B515" s="24" t="s">
        <v>399</v>
      </c>
      <c r="C515" s="79" t="s">
        <v>13</v>
      </c>
      <c r="D515" s="79">
        <v>5</v>
      </c>
      <c r="E515" s="58"/>
      <c r="F515" s="297"/>
      <c r="G515" s="56"/>
      <c r="H515" s="58"/>
      <c r="I515" s="58"/>
      <c r="J515" s="58"/>
      <c r="K515" s="58"/>
      <c r="L515" s="57"/>
    </row>
    <row r="516" spans="1:12" s="69" customFormat="1" ht="13.95" customHeight="1" x14ac:dyDescent="0.3">
      <c r="A516" s="247"/>
      <c r="B516" s="24" t="s">
        <v>39</v>
      </c>
      <c r="C516" s="79" t="s">
        <v>13</v>
      </c>
      <c r="D516" s="79">
        <f>0.15*0.1</f>
        <v>1.4999999999999999E-2</v>
      </c>
      <c r="E516" s="58"/>
      <c r="F516" s="297"/>
      <c r="G516" s="56"/>
      <c r="H516" s="58"/>
      <c r="I516" s="58"/>
      <c r="J516" s="58"/>
      <c r="K516" s="58"/>
      <c r="L516" s="57"/>
    </row>
    <row r="517" spans="1:12" s="69" customFormat="1" ht="13.95" customHeight="1" thickBot="1" x14ac:dyDescent="0.35">
      <c r="A517" s="279"/>
      <c r="B517" s="98" t="s">
        <v>14</v>
      </c>
      <c r="C517" s="141" t="s">
        <v>15</v>
      </c>
      <c r="D517" s="141">
        <f>0.93*0.1</f>
        <v>9.3000000000000013E-2</v>
      </c>
      <c r="E517" s="142"/>
      <c r="F517" s="313"/>
      <c r="G517" s="143"/>
      <c r="H517" s="142"/>
      <c r="I517" s="142"/>
      <c r="J517" s="142"/>
      <c r="K517" s="142"/>
      <c r="L517" s="144"/>
    </row>
    <row r="518" spans="1:12" ht="13.95" customHeight="1" thickBot="1" x14ac:dyDescent="0.35">
      <c r="A518" s="263"/>
      <c r="B518" s="264" t="s">
        <v>6</v>
      </c>
      <c r="C518" s="264"/>
      <c r="D518" s="264"/>
      <c r="E518" s="264"/>
      <c r="F518" s="654"/>
      <c r="G518" s="265">
        <f>SUM(G13:G517)</f>
        <v>0</v>
      </c>
      <c r="H518" s="265"/>
      <c r="I518" s="265">
        <f>SUM(I13:I517)</f>
        <v>0</v>
      </c>
      <c r="J518" s="265"/>
      <c r="K518" s="265">
        <f>SUM(K13:K517)</f>
        <v>0</v>
      </c>
      <c r="L518" s="265">
        <f>SUM(L13:L517)</f>
        <v>0</v>
      </c>
    </row>
    <row r="519" spans="1:12" x14ac:dyDescent="0.3">
      <c r="A519" s="256"/>
      <c r="B519" s="257" t="s">
        <v>128</v>
      </c>
      <c r="C519" s="258"/>
      <c r="D519" s="257"/>
      <c r="E519" s="257"/>
      <c r="F519" s="655"/>
      <c r="G519" s="257"/>
      <c r="H519" s="257"/>
      <c r="I519" s="257"/>
      <c r="J519" s="257"/>
      <c r="K519" s="257"/>
      <c r="L519" s="266">
        <f>L518*C519</f>
        <v>0</v>
      </c>
    </row>
    <row r="520" spans="1:12" x14ac:dyDescent="0.3">
      <c r="A520" s="259"/>
      <c r="B520" s="219" t="s">
        <v>6</v>
      </c>
      <c r="C520" s="60"/>
      <c r="D520" s="219"/>
      <c r="E520" s="219"/>
      <c r="F520" s="656"/>
      <c r="G520" s="219"/>
      <c r="H520" s="219"/>
      <c r="I520" s="219"/>
      <c r="J520" s="219"/>
      <c r="K520" s="219"/>
      <c r="L520" s="267">
        <f>L519+L518</f>
        <v>0</v>
      </c>
    </row>
    <row r="521" spans="1:12" x14ac:dyDescent="0.3">
      <c r="A521" s="259"/>
      <c r="B521" s="219" t="s">
        <v>154</v>
      </c>
      <c r="C521" s="18"/>
      <c r="D521" s="219"/>
      <c r="E521" s="219"/>
      <c r="F521" s="656"/>
      <c r="G521" s="219"/>
      <c r="H521" s="219"/>
      <c r="I521" s="219"/>
      <c r="J521" s="219"/>
      <c r="K521" s="219"/>
      <c r="L521" s="267">
        <f>L520*C521</f>
        <v>0</v>
      </c>
    </row>
    <row r="522" spans="1:12" x14ac:dyDescent="0.3">
      <c r="A522" s="259"/>
      <c r="B522" s="219" t="s">
        <v>6</v>
      </c>
      <c r="C522" s="18"/>
      <c r="D522" s="219"/>
      <c r="E522" s="219"/>
      <c r="F522" s="656"/>
      <c r="G522" s="219"/>
      <c r="H522" s="219"/>
      <c r="I522" s="219"/>
      <c r="J522" s="219"/>
      <c r="K522" s="219"/>
      <c r="L522" s="267">
        <f>L521+L520</f>
        <v>0</v>
      </c>
    </row>
    <row r="523" spans="1:12" x14ac:dyDescent="0.3">
      <c r="A523" s="259"/>
      <c r="B523" s="219" t="s">
        <v>17</v>
      </c>
      <c r="C523" s="18"/>
      <c r="D523" s="219"/>
      <c r="E523" s="219"/>
      <c r="F523" s="656"/>
      <c r="G523" s="219"/>
      <c r="H523" s="219"/>
      <c r="I523" s="219"/>
      <c r="J523" s="219"/>
      <c r="K523" s="219"/>
      <c r="L523" s="267">
        <f>C523*L522</f>
        <v>0</v>
      </c>
    </row>
    <row r="524" spans="1:12" x14ac:dyDescent="0.3">
      <c r="A524" s="259"/>
      <c r="B524" s="219" t="s">
        <v>6</v>
      </c>
      <c r="C524" s="18"/>
      <c r="D524" s="219"/>
      <c r="E524" s="219"/>
      <c r="F524" s="656"/>
      <c r="G524" s="219"/>
      <c r="H524" s="219"/>
      <c r="I524" s="219"/>
      <c r="J524" s="219"/>
      <c r="K524" s="219"/>
      <c r="L524" s="267">
        <f>L523+L522</f>
        <v>0</v>
      </c>
    </row>
    <row r="525" spans="1:12" x14ac:dyDescent="0.3">
      <c r="A525" s="259"/>
      <c r="B525" s="219" t="s">
        <v>18</v>
      </c>
      <c r="C525" s="18"/>
      <c r="D525" s="219"/>
      <c r="E525" s="219"/>
      <c r="F525" s="656"/>
      <c r="G525" s="219"/>
      <c r="H525" s="219"/>
      <c r="I525" s="219"/>
      <c r="J525" s="219"/>
      <c r="K525" s="219"/>
      <c r="L525" s="267">
        <f>L524*C525</f>
        <v>0</v>
      </c>
    </row>
    <row r="526" spans="1:12" x14ac:dyDescent="0.3">
      <c r="A526" s="259"/>
      <c r="B526" s="219" t="s">
        <v>6</v>
      </c>
      <c r="C526" s="29"/>
      <c r="D526" s="219"/>
      <c r="E526" s="219"/>
      <c r="F526" s="656"/>
      <c r="G526" s="219"/>
      <c r="H526" s="219"/>
      <c r="I526" s="219"/>
      <c r="J526" s="219"/>
      <c r="K526" s="219"/>
      <c r="L526" s="544">
        <f>L525+L524</f>
        <v>0</v>
      </c>
    </row>
    <row r="527" spans="1:12" ht="15" thickBot="1" x14ac:dyDescent="0.35">
      <c r="A527" s="260"/>
      <c r="B527" s="261" t="s">
        <v>19</v>
      </c>
      <c r="C527" s="262">
        <v>0.18</v>
      </c>
      <c r="D527" s="261"/>
      <c r="E527" s="261"/>
      <c r="F527" s="657"/>
      <c r="G527" s="261"/>
      <c r="H527" s="261"/>
      <c r="I527" s="261"/>
      <c r="J527" s="261"/>
      <c r="K527" s="261"/>
      <c r="L527" s="546">
        <f>L526*C527</f>
        <v>0</v>
      </c>
    </row>
    <row r="528" spans="1:12" ht="15" thickBot="1" x14ac:dyDescent="0.35">
      <c r="A528" s="263"/>
      <c r="B528" s="264" t="s">
        <v>6</v>
      </c>
      <c r="C528" s="264"/>
      <c r="D528" s="264"/>
      <c r="E528" s="264"/>
      <c r="F528" s="654"/>
      <c r="G528" s="264"/>
      <c r="H528" s="264"/>
      <c r="I528" s="264"/>
      <c r="J528" s="264"/>
      <c r="K528" s="264"/>
      <c r="L528" s="547">
        <f>L527+L526</f>
        <v>0</v>
      </c>
    </row>
  </sheetData>
  <autoFilter ref="A8:O528" xr:uid="{DFD60924-6843-4A47-8B9B-52FA577278D0}">
    <filterColumn colId="10" showButton="0"/>
  </autoFilter>
  <mergeCells count="18">
    <mergeCell ref="M323:O324"/>
    <mergeCell ref="A7:B7"/>
    <mergeCell ref="K7:L7"/>
    <mergeCell ref="A8:B8"/>
    <mergeCell ref="K9:L9"/>
    <mergeCell ref="A10:A11"/>
    <mergeCell ref="J10:K10"/>
    <mergeCell ref="L10:L11"/>
    <mergeCell ref="B10:B11"/>
    <mergeCell ref="C10:C11"/>
    <mergeCell ref="D10:E10"/>
    <mergeCell ref="F10:G10"/>
    <mergeCell ref="H10:I10"/>
    <mergeCell ref="K6:L6"/>
    <mergeCell ref="A2:L2"/>
    <mergeCell ref="A3:L3"/>
    <mergeCell ref="A4:L4"/>
    <mergeCell ref="H6:J6"/>
  </mergeCells>
  <phoneticPr fontId="54" type="noConversion"/>
  <pageMargins left="0.7" right="0.7" top="0.75" bottom="0.75" header="0.3" footer="0.3"/>
  <pageSetup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1E387-A07A-49EC-9C1F-B69524BAB6D4}">
  <sheetPr codeName="Sheet6">
    <tabColor rgb="FF00B050"/>
  </sheetPr>
  <dimension ref="A1:XFD77"/>
  <sheetViews>
    <sheetView topLeftCell="A53" zoomScale="85" zoomScaleNormal="85" workbookViewId="0">
      <selection activeCell="L75" sqref="L75:L77"/>
    </sheetView>
  </sheetViews>
  <sheetFormatPr defaultRowHeight="14.4" x14ac:dyDescent="0.3"/>
  <cols>
    <col min="2" max="2" width="46" customWidth="1"/>
    <col min="4" max="4" width="10.88671875" bestFit="1" customWidth="1"/>
    <col min="7" max="7" width="13.5546875" customWidth="1"/>
    <col min="9" max="9" width="11.33203125" bestFit="1" customWidth="1"/>
    <col min="11" max="11" width="9.33203125" bestFit="1" customWidth="1"/>
    <col min="12" max="12" width="12.33203125" customWidth="1"/>
    <col min="13" max="13" width="18.6640625" customWidth="1"/>
    <col min="16" max="16" width="27.5546875" bestFit="1" customWidth="1"/>
    <col min="17" max="17" width="11.109375" bestFit="1" customWidth="1"/>
    <col min="18" max="18" width="36.44140625" bestFit="1" customWidth="1"/>
  </cols>
  <sheetData>
    <row r="1" spans="1:12" s="1" customFormat="1" ht="15.6" x14ac:dyDescent="0.3">
      <c r="A1" s="676" t="s">
        <v>239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  <c r="L1" s="676"/>
    </row>
    <row r="2" spans="1:12" s="1" customFormat="1" ht="15.6" x14ac:dyDescent="0.3">
      <c r="A2" s="676" t="s">
        <v>146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</row>
    <row r="3" spans="1:12" s="1" customFormat="1" x14ac:dyDescent="0.3">
      <c r="A3" s="677"/>
      <c r="B3" s="677"/>
      <c r="C3" s="677"/>
      <c r="D3" s="677"/>
      <c r="E3" s="678"/>
      <c r="F3" s="677"/>
      <c r="G3" s="677"/>
      <c r="H3" s="677"/>
      <c r="I3" s="677"/>
      <c r="J3" s="677"/>
      <c r="K3" s="677"/>
      <c r="L3" s="677"/>
    </row>
    <row r="4" spans="1:12" s="6" customFormat="1" thickBot="1" x14ac:dyDescent="0.35">
      <c r="A4" s="2"/>
      <c r="B4" s="3"/>
      <c r="C4" s="2"/>
      <c r="D4" s="4"/>
      <c r="E4" s="89"/>
      <c r="F4" s="2"/>
      <c r="G4" s="5"/>
      <c r="H4" s="5"/>
      <c r="I4" s="5"/>
      <c r="J4" s="5"/>
      <c r="K4" s="5"/>
      <c r="L4" s="5"/>
    </row>
    <row r="5" spans="1:12" s="6" customFormat="1" thickBot="1" x14ac:dyDescent="0.35">
      <c r="A5" s="7"/>
      <c r="B5" s="7"/>
      <c r="C5" s="7"/>
      <c r="D5" s="7"/>
      <c r="E5" s="90"/>
      <c r="F5" s="2"/>
      <c r="G5" s="5"/>
      <c r="H5" s="679" t="s">
        <v>0</v>
      </c>
      <c r="I5" s="679"/>
      <c r="J5" s="679"/>
      <c r="K5" s="674">
        <f>L77</f>
        <v>0</v>
      </c>
      <c r="L5" s="675"/>
    </row>
    <row r="6" spans="1:12" s="6" customFormat="1" thickBot="1" x14ac:dyDescent="0.35">
      <c r="A6" s="682"/>
      <c r="B6" s="682"/>
      <c r="C6" s="8"/>
      <c r="D6" s="9"/>
      <c r="E6" s="89"/>
      <c r="F6" s="2"/>
      <c r="G6" s="5"/>
      <c r="H6" s="5"/>
      <c r="I6" s="5"/>
      <c r="J6" s="5"/>
      <c r="K6" s="683">
        <f>K5/K8</f>
        <v>0</v>
      </c>
      <c r="L6" s="684"/>
    </row>
    <row r="7" spans="1:12" s="6" customFormat="1" ht="13.8" x14ac:dyDescent="0.3">
      <c r="A7" s="682"/>
      <c r="B7" s="682"/>
      <c r="C7" s="2"/>
      <c r="D7" s="4"/>
      <c r="E7" s="89"/>
      <c r="F7" s="2"/>
      <c r="G7" s="5"/>
      <c r="H7" s="5"/>
      <c r="I7" s="5"/>
      <c r="J7" s="5"/>
      <c r="K7" s="5"/>
      <c r="L7" s="5"/>
    </row>
    <row r="8" spans="1:12" s="6" customFormat="1" thickBot="1" x14ac:dyDescent="0.35">
      <c r="A8" s="2"/>
      <c r="B8" s="3"/>
      <c r="C8" s="2"/>
      <c r="D8" s="4"/>
      <c r="E8" s="89"/>
      <c r="F8" s="2"/>
      <c r="G8" s="5"/>
      <c r="H8" s="5"/>
      <c r="I8" s="5"/>
      <c r="J8" s="5" t="s">
        <v>1</v>
      </c>
      <c r="K8" s="685">
        <v>2.64</v>
      </c>
      <c r="L8" s="685"/>
    </row>
    <row r="9" spans="1:12" s="101" customFormat="1" ht="33.75" customHeight="1" x14ac:dyDescent="0.3">
      <c r="A9" s="693" t="s">
        <v>20</v>
      </c>
      <c r="B9" s="691" t="s">
        <v>21</v>
      </c>
      <c r="C9" s="691" t="s">
        <v>22</v>
      </c>
      <c r="D9" s="691" t="s">
        <v>23</v>
      </c>
      <c r="E9" s="691"/>
      <c r="F9" s="688" t="s">
        <v>4</v>
      </c>
      <c r="G9" s="688"/>
      <c r="H9" s="688" t="s">
        <v>5</v>
      </c>
      <c r="I9" s="688"/>
      <c r="J9" s="688" t="s">
        <v>24</v>
      </c>
      <c r="K9" s="688"/>
      <c r="L9" s="689" t="s">
        <v>6</v>
      </c>
    </row>
    <row r="10" spans="1:12" s="101" customFormat="1" ht="51.75" customHeight="1" x14ac:dyDescent="0.3">
      <c r="A10" s="694"/>
      <c r="B10" s="692"/>
      <c r="C10" s="692"/>
      <c r="D10" s="81" t="s">
        <v>25</v>
      </c>
      <c r="E10" s="81" t="s">
        <v>3</v>
      </c>
      <c r="F10" s="433" t="s">
        <v>26</v>
      </c>
      <c r="G10" s="81" t="s">
        <v>6</v>
      </c>
      <c r="H10" s="81" t="s">
        <v>26</v>
      </c>
      <c r="I10" s="81" t="s">
        <v>6</v>
      </c>
      <c r="J10" s="81" t="s">
        <v>26</v>
      </c>
      <c r="K10" s="81" t="s">
        <v>6</v>
      </c>
      <c r="L10" s="690"/>
    </row>
    <row r="11" spans="1:12" s="48" customFormat="1" ht="13.95" customHeight="1" thickBot="1" x14ac:dyDescent="0.35">
      <c r="A11" s="42">
        <v>1</v>
      </c>
      <c r="B11" s="43">
        <v>2</v>
      </c>
      <c r="C11" s="43">
        <v>3</v>
      </c>
      <c r="D11" s="43">
        <v>4</v>
      </c>
      <c r="E11" s="127">
        <v>5</v>
      </c>
      <c r="F11" s="128">
        <v>6</v>
      </c>
      <c r="G11" s="129">
        <v>7</v>
      </c>
      <c r="H11" s="129">
        <v>8</v>
      </c>
      <c r="I11" s="129">
        <v>9</v>
      </c>
      <c r="J11" s="129">
        <v>10</v>
      </c>
      <c r="K11" s="129">
        <v>11</v>
      </c>
      <c r="L11" s="130">
        <v>12</v>
      </c>
    </row>
    <row r="12" spans="1:12" ht="15" thickBot="1" x14ac:dyDescent="0.35">
      <c r="A12" s="220"/>
      <c r="B12" s="227" t="s">
        <v>257</v>
      </c>
      <c r="C12" s="222"/>
      <c r="D12" s="222"/>
      <c r="E12" s="223"/>
      <c r="F12" s="434"/>
      <c r="G12" s="224"/>
      <c r="H12" s="223"/>
      <c r="I12" s="223"/>
      <c r="J12" s="223"/>
      <c r="K12" s="223"/>
      <c r="L12" s="225"/>
    </row>
    <row r="13" spans="1:12" ht="27.6" x14ac:dyDescent="0.3">
      <c r="A13" s="68">
        <v>1</v>
      </c>
      <c r="B13" s="74" t="s">
        <v>271</v>
      </c>
      <c r="C13" s="75" t="s">
        <v>33</v>
      </c>
      <c r="D13" s="75"/>
      <c r="E13" s="76">
        <v>308.89999999999998</v>
      </c>
      <c r="F13" s="435"/>
      <c r="G13" s="76"/>
      <c r="H13" s="76"/>
      <c r="I13" s="76"/>
      <c r="J13" s="76"/>
      <c r="K13" s="76"/>
      <c r="L13" s="77"/>
    </row>
    <row r="14" spans="1:12" x14ac:dyDescent="0.3">
      <c r="A14" s="78"/>
      <c r="B14" s="24" t="s">
        <v>8</v>
      </c>
      <c r="C14" s="79" t="s">
        <v>33</v>
      </c>
      <c r="D14" s="79">
        <v>1</v>
      </c>
      <c r="E14" s="58"/>
      <c r="F14" s="271"/>
      <c r="G14" s="56"/>
      <c r="H14" s="58"/>
      <c r="I14" s="58"/>
      <c r="J14" s="58"/>
      <c r="K14" s="58"/>
      <c r="L14" s="57"/>
    </row>
    <row r="15" spans="1:12" x14ac:dyDescent="0.3">
      <c r="A15" s="78"/>
      <c r="B15" s="24" t="s">
        <v>12</v>
      </c>
      <c r="C15" s="79"/>
      <c r="D15" s="79"/>
      <c r="E15" s="58"/>
      <c r="F15" s="271"/>
      <c r="G15" s="56"/>
      <c r="H15" s="58"/>
      <c r="I15" s="58"/>
      <c r="J15" s="58"/>
      <c r="K15" s="58"/>
      <c r="L15" s="57"/>
    </row>
    <row r="16" spans="1:12" x14ac:dyDescent="0.3">
      <c r="A16" s="78"/>
      <c r="B16" s="24" t="s">
        <v>249</v>
      </c>
      <c r="C16" s="79" t="s">
        <v>33</v>
      </c>
      <c r="D16" s="79">
        <v>1.05</v>
      </c>
      <c r="E16" s="58"/>
      <c r="F16" s="271"/>
      <c r="G16" s="56"/>
      <c r="H16" s="58"/>
      <c r="I16" s="58"/>
      <c r="J16" s="58"/>
      <c r="K16" s="58"/>
      <c r="L16" s="57"/>
    </row>
    <row r="17" spans="1:12" x14ac:dyDescent="0.3">
      <c r="A17" s="78"/>
      <c r="B17" s="24" t="s">
        <v>250</v>
      </c>
      <c r="C17" s="79" t="s">
        <v>7</v>
      </c>
      <c r="D17" s="79">
        <v>0.84</v>
      </c>
      <c r="E17" s="58"/>
      <c r="F17" s="271"/>
      <c r="G17" s="56"/>
      <c r="H17" s="58"/>
      <c r="I17" s="58"/>
      <c r="J17" s="58"/>
      <c r="K17" s="58"/>
      <c r="L17" s="57"/>
    </row>
    <row r="18" spans="1:12" x14ac:dyDescent="0.3">
      <c r="A18" s="78"/>
      <c r="B18" s="24" t="s">
        <v>251</v>
      </c>
      <c r="C18" s="79" t="s">
        <v>7</v>
      </c>
      <c r="D18" s="79">
        <v>0.84</v>
      </c>
      <c r="E18" s="58"/>
      <c r="F18" s="271"/>
      <c r="G18" s="56"/>
      <c r="H18" s="58"/>
      <c r="I18" s="58"/>
      <c r="J18" s="58"/>
      <c r="K18" s="58"/>
      <c r="L18" s="57"/>
    </row>
    <row r="19" spans="1:12" x14ac:dyDescent="0.3">
      <c r="A19" s="78"/>
      <c r="B19" s="24" t="s">
        <v>252</v>
      </c>
      <c r="C19" s="79" t="s">
        <v>7</v>
      </c>
      <c r="D19" s="79">
        <v>1.67</v>
      </c>
      <c r="E19" s="58"/>
      <c r="F19" s="271"/>
      <c r="G19" s="56"/>
      <c r="H19" s="58"/>
      <c r="I19" s="58"/>
      <c r="J19" s="58"/>
      <c r="K19" s="58"/>
      <c r="L19" s="57"/>
    </row>
    <row r="20" spans="1:12" x14ac:dyDescent="0.3">
      <c r="A20" s="78"/>
      <c r="B20" s="24" t="s">
        <v>79</v>
      </c>
      <c r="C20" s="79" t="s">
        <v>9</v>
      </c>
      <c r="D20" s="79">
        <v>1</v>
      </c>
      <c r="E20" s="58"/>
      <c r="F20" s="271"/>
      <c r="G20" s="56"/>
      <c r="H20" s="58"/>
      <c r="I20" s="58"/>
      <c r="J20" s="58"/>
      <c r="K20" s="58"/>
      <c r="L20" s="57"/>
    </row>
    <row r="21" spans="1:12" x14ac:dyDescent="0.3">
      <c r="A21" s="78"/>
      <c r="B21" s="24" t="s">
        <v>253</v>
      </c>
      <c r="C21" s="79" t="s">
        <v>9</v>
      </c>
      <c r="D21" s="79">
        <v>0.8</v>
      </c>
      <c r="E21" s="58"/>
      <c r="F21" s="271"/>
      <c r="G21" s="56"/>
      <c r="H21" s="58"/>
      <c r="I21" s="58"/>
      <c r="J21" s="58"/>
      <c r="K21" s="58"/>
      <c r="L21" s="57"/>
    </row>
    <row r="22" spans="1:12" x14ac:dyDescent="0.3">
      <c r="A22" s="78"/>
      <c r="B22" s="24" t="s">
        <v>254</v>
      </c>
      <c r="C22" s="79" t="s">
        <v>9</v>
      </c>
      <c r="D22" s="79">
        <v>0.8</v>
      </c>
      <c r="E22" s="58"/>
      <c r="F22" s="271"/>
      <c r="G22" s="56"/>
      <c r="H22" s="58"/>
      <c r="I22" s="58"/>
      <c r="J22" s="58"/>
      <c r="K22" s="58"/>
      <c r="L22" s="57"/>
    </row>
    <row r="23" spans="1:12" x14ac:dyDescent="0.3">
      <c r="A23" s="78"/>
      <c r="B23" s="24" t="s">
        <v>255</v>
      </c>
      <c r="C23" s="79" t="s">
        <v>9</v>
      </c>
      <c r="D23" s="79">
        <v>1.6</v>
      </c>
      <c r="E23" s="58"/>
      <c r="F23" s="271"/>
      <c r="G23" s="56"/>
      <c r="H23" s="58"/>
      <c r="I23" s="58"/>
      <c r="J23" s="58"/>
      <c r="K23" s="58"/>
      <c r="L23" s="57"/>
    </row>
    <row r="24" spans="1:12" ht="15" thickBot="1" x14ac:dyDescent="0.35">
      <c r="A24" s="149"/>
      <c r="B24" s="150" t="s">
        <v>84</v>
      </c>
      <c r="C24" s="151" t="s">
        <v>7</v>
      </c>
      <c r="D24" s="151">
        <v>1</v>
      </c>
      <c r="E24" s="152"/>
      <c r="F24" s="436"/>
      <c r="G24" s="167"/>
      <c r="H24" s="152"/>
      <c r="I24" s="152"/>
      <c r="J24" s="152"/>
      <c r="K24" s="152"/>
      <c r="L24" s="153"/>
    </row>
    <row r="25" spans="1:12" ht="15" thickBot="1" x14ac:dyDescent="0.35">
      <c r="A25" s="220"/>
      <c r="B25" s="227" t="s">
        <v>256</v>
      </c>
      <c r="C25" s="222"/>
      <c r="D25" s="222"/>
      <c r="E25" s="223"/>
      <c r="F25" s="434"/>
      <c r="G25" s="224"/>
      <c r="H25" s="223"/>
      <c r="I25" s="223"/>
      <c r="J25" s="223"/>
      <c r="K25" s="223"/>
      <c r="L25" s="225"/>
    </row>
    <row r="26" spans="1:12" s="158" customFormat="1" ht="27.75" customHeight="1" x14ac:dyDescent="0.3">
      <c r="A26" s="194">
        <v>2</v>
      </c>
      <c r="B26" s="137" t="s">
        <v>336</v>
      </c>
      <c r="C26" s="134" t="s">
        <v>33</v>
      </c>
      <c r="D26" s="75"/>
      <c r="E26" s="76">
        <v>293.7</v>
      </c>
      <c r="F26" s="435"/>
      <c r="G26" s="76"/>
      <c r="H26" s="76"/>
      <c r="I26" s="76"/>
      <c r="J26" s="76"/>
      <c r="K26" s="76"/>
      <c r="L26" s="77"/>
    </row>
    <row r="27" spans="1:12" s="158" customFormat="1" ht="13.8" x14ac:dyDescent="0.3">
      <c r="A27" s="78"/>
      <c r="B27" s="24" t="s">
        <v>8</v>
      </c>
      <c r="C27" s="79" t="s">
        <v>33</v>
      </c>
      <c r="D27" s="79">
        <v>1</v>
      </c>
      <c r="E27" s="58"/>
      <c r="F27" s="271"/>
      <c r="G27" s="56"/>
      <c r="H27" s="58"/>
      <c r="I27" s="58"/>
      <c r="J27" s="58"/>
      <c r="K27" s="58"/>
      <c r="L27" s="57"/>
    </row>
    <row r="28" spans="1:12" s="158" customFormat="1" ht="13.8" x14ac:dyDescent="0.3">
      <c r="A28" s="78"/>
      <c r="B28" s="24" t="s">
        <v>10</v>
      </c>
      <c r="C28" s="79" t="s">
        <v>15</v>
      </c>
      <c r="D28" s="79">
        <v>0.03</v>
      </c>
      <c r="E28" s="58"/>
      <c r="F28" s="271"/>
      <c r="G28" s="56"/>
      <c r="H28" s="58"/>
      <c r="I28" s="58"/>
      <c r="J28" s="58"/>
      <c r="K28" s="58"/>
      <c r="L28" s="57"/>
    </row>
    <row r="29" spans="1:12" s="158" customFormat="1" ht="13.8" x14ac:dyDescent="0.3">
      <c r="A29" s="78"/>
      <c r="B29" s="24" t="s">
        <v>12</v>
      </c>
      <c r="C29" s="79"/>
      <c r="D29" s="79"/>
      <c r="E29" s="58"/>
      <c r="F29" s="271"/>
      <c r="G29" s="56"/>
      <c r="H29" s="58"/>
      <c r="I29" s="58"/>
      <c r="J29" s="58"/>
      <c r="K29" s="58"/>
      <c r="L29" s="57"/>
    </row>
    <row r="30" spans="1:12" s="158" customFormat="1" ht="15" x14ac:dyDescent="0.3">
      <c r="A30" s="78"/>
      <c r="B30" s="24" t="s">
        <v>338</v>
      </c>
      <c r="C30" s="79" t="s">
        <v>33</v>
      </c>
      <c r="D30" s="79">
        <v>1.05</v>
      </c>
      <c r="E30" s="58"/>
      <c r="F30" s="271"/>
      <c r="G30" s="56"/>
      <c r="H30" s="58"/>
      <c r="I30" s="58"/>
      <c r="J30" s="58"/>
      <c r="K30" s="58"/>
      <c r="L30" s="57"/>
    </row>
    <row r="31" spans="1:12" s="158" customFormat="1" thickBot="1" x14ac:dyDescent="0.35">
      <c r="A31" s="198"/>
      <c r="B31" s="98" t="s">
        <v>14</v>
      </c>
      <c r="C31" s="141" t="s">
        <v>15</v>
      </c>
      <c r="D31" s="79">
        <v>3.0000000000000001E-3</v>
      </c>
      <c r="E31" s="56"/>
      <c r="F31" s="297"/>
      <c r="G31" s="56"/>
      <c r="H31" s="56"/>
      <c r="I31" s="56"/>
      <c r="J31" s="56"/>
      <c r="K31" s="56"/>
      <c r="L31" s="57"/>
    </row>
    <row r="32" spans="1:12" s="69" customFormat="1" ht="26.25" customHeight="1" x14ac:dyDescent="0.3">
      <c r="A32" s="194">
        <v>3</v>
      </c>
      <c r="B32" s="137" t="s">
        <v>247</v>
      </c>
      <c r="C32" s="134" t="s">
        <v>33</v>
      </c>
      <c r="D32" s="134"/>
      <c r="E32" s="138">
        <f>E26</f>
        <v>293.7</v>
      </c>
      <c r="F32" s="312"/>
      <c r="G32" s="138"/>
      <c r="H32" s="138"/>
      <c r="I32" s="138"/>
      <c r="J32" s="138"/>
      <c r="K32" s="138"/>
      <c r="L32" s="139"/>
    </row>
    <row r="33" spans="1:16384" s="69" customFormat="1" ht="13.95" customHeight="1" x14ac:dyDescent="0.3">
      <c r="A33" s="78"/>
      <c r="B33" s="24" t="s">
        <v>8</v>
      </c>
      <c r="C33" s="79" t="s">
        <v>33</v>
      </c>
      <c r="D33" s="79">
        <v>1</v>
      </c>
      <c r="E33" s="58"/>
      <c r="F33" s="271"/>
      <c r="G33" s="58"/>
      <c r="H33" s="58"/>
      <c r="I33" s="58"/>
      <c r="J33" s="58"/>
      <c r="K33" s="58"/>
      <c r="L33" s="57"/>
    </row>
    <row r="34" spans="1:16384" s="69" customFormat="1" ht="13.95" customHeight="1" x14ac:dyDescent="0.3">
      <c r="A34" s="78"/>
      <c r="B34" s="24" t="s">
        <v>10</v>
      </c>
      <c r="C34" s="79" t="s">
        <v>15</v>
      </c>
      <c r="D34" s="79">
        <v>0.2</v>
      </c>
      <c r="E34" s="58"/>
      <c r="F34" s="271"/>
      <c r="G34" s="58"/>
      <c r="H34" s="58"/>
      <c r="I34" s="58"/>
      <c r="J34" s="58"/>
      <c r="K34" s="58"/>
      <c r="L34" s="57"/>
    </row>
    <row r="35" spans="1:16384" s="69" customFormat="1" ht="13.95" customHeight="1" x14ac:dyDescent="0.3">
      <c r="A35" s="78"/>
      <c r="B35" s="24" t="s">
        <v>12</v>
      </c>
      <c r="C35" s="79"/>
      <c r="D35" s="79"/>
      <c r="E35" s="58"/>
      <c r="F35" s="271"/>
      <c r="G35" s="58"/>
      <c r="H35" s="58"/>
      <c r="I35" s="58"/>
      <c r="J35" s="58"/>
      <c r="K35" s="58"/>
      <c r="L35" s="57"/>
    </row>
    <row r="36" spans="1:16384" s="69" customFormat="1" ht="13.8" x14ac:dyDescent="0.3">
      <c r="A36" s="78"/>
      <c r="B36" s="24" t="s">
        <v>248</v>
      </c>
      <c r="C36" s="79" t="s">
        <v>33</v>
      </c>
      <c r="D36" s="79">
        <v>1.05</v>
      </c>
      <c r="E36" s="58"/>
      <c r="F36" s="297"/>
      <c r="G36" s="56"/>
      <c r="H36" s="58"/>
      <c r="I36" s="58"/>
      <c r="J36" s="58"/>
      <c r="K36" s="58"/>
      <c r="L36" s="57"/>
    </row>
    <row r="37" spans="1:16384" s="69" customFormat="1" ht="13.95" customHeight="1" thickBot="1" x14ac:dyDescent="0.35">
      <c r="A37" s="140"/>
      <c r="B37" s="98" t="s">
        <v>14</v>
      </c>
      <c r="C37" s="141" t="s">
        <v>15</v>
      </c>
      <c r="D37" s="141">
        <v>1</v>
      </c>
      <c r="E37" s="142"/>
      <c r="F37" s="313"/>
      <c r="G37" s="143"/>
      <c r="H37" s="142"/>
      <c r="I37" s="142"/>
      <c r="J37" s="142"/>
      <c r="K37" s="142"/>
      <c r="L37" s="144"/>
    </row>
    <row r="38" spans="1:16384" s="69" customFormat="1" ht="30.75" customHeight="1" x14ac:dyDescent="0.3">
      <c r="A38" s="136">
        <v>4</v>
      </c>
      <c r="B38" s="137" t="s">
        <v>246</v>
      </c>
      <c r="C38" s="134" t="s">
        <v>33</v>
      </c>
      <c r="D38" s="134"/>
      <c r="E38" s="138">
        <f>E32</f>
        <v>293.7</v>
      </c>
      <c r="F38" s="312"/>
      <c r="G38" s="138"/>
      <c r="H38" s="138"/>
      <c r="I38" s="138"/>
      <c r="J38" s="138"/>
      <c r="K38" s="138"/>
      <c r="L38" s="139"/>
    </row>
    <row r="39" spans="1:16384" s="69" customFormat="1" ht="12.75" customHeight="1" x14ac:dyDescent="0.3">
      <c r="A39" s="78"/>
      <c r="B39" s="24" t="s">
        <v>8</v>
      </c>
      <c r="C39" s="79" t="s">
        <v>33</v>
      </c>
      <c r="D39" s="79">
        <v>1</v>
      </c>
      <c r="E39" s="58"/>
      <c r="F39" s="297"/>
      <c r="G39" s="56"/>
      <c r="H39" s="56"/>
      <c r="I39" s="58"/>
      <c r="J39" s="58"/>
      <c r="K39" s="58"/>
      <c r="L39" s="57"/>
    </row>
    <row r="40" spans="1:16384" s="69" customFormat="1" ht="12.75" customHeight="1" x14ac:dyDescent="0.3">
      <c r="A40" s="78"/>
      <c r="B40" s="24" t="s">
        <v>12</v>
      </c>
      <c r="C40" s="79"/>
      <c r="D40" s="79"/>
      <c r="E40" s="58"/>
      <c r="F40" s="297"/>
      <c r="G40" s="56"/>
      <c r="H40" s="135"/>
      <c r="I40" s="58"/>
      <c r="J40" s="58"/>
      <c r="K40" s="58"/>
      <c r="L40" s="57"/>
    </row>
    <row r="41" spans="1:16384" s="69" customFormat="1" thickBot="1" x14ac:dyDescent="0.35">
      <c r="A41" s="140"/>
      <c r="B41" s="98" t="s">
        <v>245</v>
      </c>
      <c r="C41" s="141" t="s">
        <v>33</v>
      </c>
      <c r="D41" s="141">
        <v>1.1000000000000001</v>
      </c>
      <c r="E41" s="142"/>
      <c r="F41" s="313"/>
      <c r="G41" s="143"/>
      <c r="H41" s="142"/>
      <c r="I41" s="142"/>
      <c r="J41" s="142"/>
      <c r="K41" s="142"/>
      <c r="L41" s="144"/>
    </row>
    <row r="42" spans="1:16384" s="226" customFormat="1" ht="15" thickBot="1" x14ac:dyDescent="0.35">
      <c r="A42" s="220"/>
      <c r="B42" s="227" t="s">
        <v>482</v>
      </c>
      <c r="C42" s="222"/>
      <c r="D42" s="222"/>
      <c r="E42" s="223"/>
      <c r="F42" s="223"/>
      <c r="G42" s="224"/>
      <c r="H42" s="223"/>
      <c r="I42" s="223"/>
      <c r="J42" s="223"/>
      <c r="K42" s="223"/>
      <c r="L42" s="225"/>
      <c r="M42" s="605"/>
      <c r="N42" s="620"/>
      <c r="O42" s="307"/>
      <c r="P42" s="307"/>
      <c r="Q42" s="309"/>
      <c r="R42" s="320"/>
      <c r="S42" s="321"/>
      <c r="T42" s="320"/>
      <c r="U42" s="320"/>
      <c r="V42" s="320"/>
      <c r="W42" s="320"/>
      <c r="X42" s="321"/>
      <c r="Y42" s="319"/>
      <c r="Z42" s="620"/>
      <c r="AA42" s="319"/>
      <c r="AB42" s="319"/>
      <c r="AC42" s="320"/>
      <c r="AD42" s="320"/>
      <c r="AE42" s="321"/>
      <c r="AF42" s="320"/>
      <c r="AG42" s="320"/>
      <c r="AH42" s="320"/>
      <c r="AI42" s="320"/>
      <c r="AJ42" s="321"/>
      <c r="AK42" s="319"/>
      <c r="AL42" s="620"/>
      <c r="AM42" s="319"/>
      <c r="AN42" s="319"/>
      <c r="AO42" s="320"/>
      <c r="AP42" s="320"/>
      <c r="AQ42" s="621"/>
      <c r="AR42" s="434"/>
      <c r="AS42" s="434"/>
      <c r="AT42" s="434"/>
      <c r="AU42" s="434"/>
      <c r="AV42" s="622"/>
      <c r="AW42" s="623"/>
      <c r="AX42" s="624"/>
      <c r="AY42" s="625"/>
      <c r="AZ42" s="625"/>
      <c r="BA42" s="434"/>
      <c r="BB42" s="434"/>
      <c r="BC42" s="626"/>
      <c r="BD42" s="434"/>
      <c r="BE42" s="434"/>
      <c r="BF42" s="434"/>
      <c r="BG42" s="434"/>
      <c r="BH42" s="622"/>
      <c r="BI42" s="623"/>
      <c r="BJ42" s="624"/>
      <c r="BK42" s="625"/>
      <c r="BL42" s="625"/>
      <c r="BM42" s="434"/>
      <c r="BN42" s="434"/>
      <c r="BO42" s="626"/>
      <c r="BP42" s="434"/>
      <c r="BQ42" s="434"/>
      <c r="BR42" s="434"/>
      <c r="BS42" s="434"/>
      <c r="BT42" s="622"/>
      <c r="BU42" s="623"/>
      <c r="BV42" s="624"/>
      <c r="BW42" s="222"/>
      <c r="BX42" s="222"/>
      <c r="BY42" s="223"/>
      <c r="BZ42" s="223"/>
      <c r="CA42" s="224"/>
      <c r="CB42" s="223"/>
      <c r="CC42" s="223"/>
      <c r="CD42" s="223"/>
      <c r="CE42" s="223"/>
      <c r="CF42" s="225"/>
      <c r="CG42" s="220"/>
      <c r="CH42" s="221"/>
      <c r="CI42" s="222"/>
      <c r="CJ42" s="222"/>
      <c r="CK42" s="223"/>
      <c r="CL42" s="223"/>
      <c r="CM42" s="224"/>
      <c r="CN42" s="223"/>
      <c r="CO42" s="223"/>
      <c r="CP42" s="223"/>
      <c r="CQ42" s="223"/>
      <c r="CR42" s="225"/>
      <c r="CS42" s="220"/>
      <c r="CT42" s="221"/>
      <c r="CU42" s="222"/>
      <c r="CV42" s="222"/>
      <c r="CW42" s="223"/>
      <c r="CX42" s="223"/>
      <c r="CY42" s="224"/>
      <c r="CZ42" s="223"/>
      <c r="DA42" s="223"/>
      <c r="DB42" s="223"/>
      <c r="DC42" s="223"/>
      <c r="DD42" s="225"/>
      <c r="DE42" s="220"/>
      <c r="DF42" s="221"/>
      <c r="DG42" s="222"/>
      <c r="DH42" s="222"/>
      <c r="DI42" s="223"/>
      <c r="DJ42" s="223"/>
      <c r="DK42" s="224"/>
      <c r="DL42" s="223"/>
      <c r="DM42" s="223"/>
      <c r="DN42" s="223"/>
      <c r="DO42" s="223"/>
      <c r="DP42" s="225"/>
      <c r="DQ42" s="220"/>
      <c r="DR42" s="221"/>
      <c r="DS42" s="222"/>
      <c r="DT42" s="222"/>
      <c r="DU42" s="223"/>
      <c r="DV42" s="223"/>
      <c r="DW42" s="224"/>
      <c r="DX42" s="223"/>
      <c r="DY42" s="223"/>
      <c r="DZ42" s="223"/>
      <c r="EA42" s="223"/>
      <c r="EB42" s="225"/>
      <c r="EC42" s="220"/>
      <c r="ED42" s="221"/>
      <c r="EE42" s="222"/>
      <c r="EF42" s="222"/>
      <c r="EG42" s="223"/>
      <c r="EH42" s="223"/>
      <c r="EI42" s="224"/>
      <c r="EJ42" s="223"/>
      <c r="EK42" s="223"/>
      <c r="EL42" s="223"/>
      <c r="EM42" s="223"/>
      <c r="EN42" s="225"/>
      <c r="EO42" s="220"/>
      <c r="EP42" s="221"/>
      <c r="EQ42" s="222"/>
      <c r="ER42" s="222"/>
      <c r="ES42" s="223"/>
      <c r="ET42" s="223"/>
      <c r="EU42" s="224"/>
      <c r="EV42" s="223"/>
      <c r="EW42" s="223"/>
      <c r="EX42" s="223"/>
      <c r="EY42" s="223"/>
      <c r="EZ42" s="225"/>
      <c r="FA42" s="220"/>
      <c r="FB42" s="221"/>
      <c r="FC42" s="222"/>
      <c r="FD42" s="222"/>
      <c r="FE42" s="223"/>
      <c r="FF42" s="223"/>
      <c r="FG42" s="224"/>
      <c r="FH42" s="223"/>
      <c r="FI42" s="223"/>
      <c r="FJ42" s="223"/>
      <c r="FK42" s="223"/>
      <c r="FL42" s="225"/>
      <c r="FM42" s="220"/>
      <c r="FN42" s="221"/>
      <c r="FO42" s="222"/>
      <c r="FP42" s="222"/>
      <c r="FQ42" s="223"/>
      <c r="FR42" s="223"/>
      <c r="FS42" s="224"/>
      <c r="FT42" s="223"/>
      <c r="FU42" s="223"/>
      <c r="FV42" s="223"/>
      <c r="FW42" s="223"/>
      <c r="FX42" s="225"/>
      <c r="FY42" s="220"/>
      <c r="FZ42" s="221"/>
      <c r="GA42" s="222"/>
      <c r="GB42" s="222"/>
      <c r="GC42" s="223"/>
      <c r="GD42" s="223"/>
      <c r="GE42" s="224"/>
      <c r="GF42" s="223"/>
      <c r="GG42" s="223"/>
      <c r="GH42" s="223"/>
      <c r="GI42" s="223"/>
      <c r="GJ42" s="225"/>
      <c r="GK42" s="220"/>
      <c r="GL42" s="221"/>
      <c r="GM42" s="222"/>
      <c r="GN42" s="222"/>
      <c r="GO42" s="223"/>
      <c r="GP42" s="223"/>
      <c r="GQ42" s="224"/>
      <c r="GR42" s="223"/>
      <c r="GS42" s="223"/>
      <c r="GT42" s="223"/>
      <c r="GU42" s="223"/>
      <c r="GV42" s="225"/>
      <c r="GW42" s="220"/>
      <c r="GX42" s="221"/>
      <c r="GY42" s="222"/>
      <c r="GZ42" s="222"/>
      <c r="HA42" s="223"/>
      <c r="HB42" s="223"/>
      <c r="HC42" s="224"/>
      <c r="HD42" s="223"/>
      <c r="HE42" s="223"/>
      <c r="HF42" s="223"/>
      <c r="HG42" s="223"/>
      <c r="HH42" s="225"/>
      <c r="HI42" s="220"/>
      <c r="HJ42" s="221"/>
      <c r="HK42" s="222"/>
      <c r="HL42" s="222"/>
      <c r="HM42" s="223"/>
      <c r="HN42" s="223"/>
      <c r="HO42" s="224"/>
      <c r="HP42" s="223"/>
      <c r="HQ42" s="223"/>
      <c r="HR42" s="223"/>
      <c r="HS42" s="223"/>
      <c r="HT42" s="225"/>
      <c r="HU42" s="220"/>
      <c r="HV42" s="221"/>
      <c r="HW42" s="222"/>
      <c r="HX42" s="222"/>
      <c r="HY42" s="223"/>
      <c r="HZ42" s="223"/>
      <c r="IA42" s="224"/>
      <c r="IB42" s="223"/>
      <c r="IC42" s="223"/>
      <c r="ID42" s="223"/>
      <c r="IE42" s="223"/>
      <c r="IF42" s="225"/>
      <c r="IG42" s="220"/>
      <c r="IH42" s="221"/>
      <c r="II42" s="222"/>
      <c r="IJ42" s="222"/>
      <c r="IK42" s="223"/>
      <c r="IL42" s="223"/>
      <c r="IM42" s="224"/>
      <c r="IN42" s="223"/>
      <c r="IO42" s="223"/>
      <c r="IP42" s="223"/>
      <c r="IQ42" s="223"/>
      <c r="IR42" s="225"/>
      <c r="IS42" s="220"/>
      <c r="IT42" s="221"/>
      <c r="IU42" s="222"/>
      <c r="IV42" s="222"/>
      <c r="IW42" s="223"/>
      <c r="IX42" s="223"/>
      <c r="IY42" s="224"/>
      <c r="IZ42" s="223"/>
      <c r="JA42" s="223"/>
      <c r="JB42" s="223"/>
      <c r="JC42" s="223"/>
      <c r="JD42" s="225"/>
      <c r="JE42" s="220"/>
      <c r="JF42" s="221"/>
      <c r="JG42" s="222"/>
      <c r="JH42" s="222"/>
      <c r="JI42" s="223"/>
      <c r="JJ42" s="223"/>
      <c r="JK42" s="224"/>
      <c r="JL42" s="223"/>
      <c r="JM42" s="223"/>
      <c r="JN42" s="223"/>
      <c r="JO42" s="223"/>
      <c r="JP42" s="225"/>
      <c r="JQ42" s="220"/>
      <c r="JR42" s="221"/>
      <c r="JS42" s="222"/>
      <c r="JT42" s="222"/>
      <c r="JU42" s="223"/>
      <c r="JV42" s="223"/>
      <c r="JW42" s="224"/>
      <c r="JX42" s="223"/>
      <c r="JY42" s="223"/>
      <c r="JZ42" s="223"/>
      <c r="KA42" s="223"/>
      <c r="KB42" s="225"/>
      <c r="KC42" s="220"/>
      <c r="KD42" s="221"/>
      <c r="KE42" s="222"/>
      <c r="KF42" s="222"/>
      <c r="KG42" s="223"/>
      <c r="KH42" s="223"/>
      <c r="KI42" s="224"/>
      <c r="KJ42" s="223"/>
      <c r="KK42" s="223"/>
      <c r="KL42" s="223"/>
      <c r="KM42" s="223"/>
      <c r="KN42" s="225"/>
      <c r="KO42" s="220"/>
      <c r="KP42" s="221"/>
      <c r="KQ42" s="222"/>
      <c r="KR42" s="222"/>
      <c r="KS42" s="223"/>
      <c r="KT42" s="223"/>
      <c r="KU42" s="224"/>
      <c r="KV42" s="223"/>
      <c r="KW42" s="223"/>
      <c r="KX42" s="223"/>
      <c r="KY42" s="223"/>
      <c r="KZ42" s="225"/>
      <c r="LA42" s="220"/>
      <c r="LB42" s="221"/>
      <c r="LC42" s="222"/>
      <c r="LD42" s="222"/>
      <c r="LE42" s="223"/>
      <c r="LF42" s="223"/>
      <c r="LG42" s="224"/>
      <c r="LH42" s="223"/>
      <c r="LI42" s="223"/>
      <c r="LJ42" s="223"/>
      <c r="LK42" s="223"/>
      <c r="LL42" s="225"/>
      <c r="LM42" s="220"/>
      <c r="LN42" s="221"/>
      <c r="LO42" s="222"/>
      <c r="LP42" s="222"/>
      <c r="LQ42" s="223"/>
      <c r="LR42" s="223"/>
      <c r="LS42" s="224"/>
      <c r="LT42" s="223"/>
      <c r="LU42" s="223"/>
      <c r="LV42" s="223"/>
      <c r="LW42" s="223"/>
      <c r="LX42" s="225"/>
      <c r="LY42" s="220"/>
      <c r="LZ42" s="221"/>
      <c r="MA42" s="222"/>
      <c r="MB42" s="222"/>
      <c r="MC42" s="223"/>
      <c r="MD42" s="223"/>
      <c r="ME42" s="224"/>
      <c r="MF42" s="223"/>
      <c r="MG42" s="223"/>
      <c r="MH42" s="223"/>
      <c r="MI42" s="223"/>
      <c r="MJ42" s="225"/>
      <c r="MK42" s="220"/>
      <c r="ML42" s="221"/>
      <c r="MM42" s="222"/>
      <c r="MN42" s="222"/>
      <c r="MO42" s="223"/>
      <c r="MP42" s="223"/>
      <c r="MQ42" s="224"/>
      <c r="MR42" s="223"/>
      <c r="MS42" s="223"/>
      <c r="MT42" s="223"/>
      <c r="MU42" s="223"/>
      <c r="MV42" s="225"/>
      <c r="MW42" s="220"/>
      <c r="MX42" s="221"/>
      <c r="MY42" s="222"/>
      <c r="MZ42" s="222"/>
      <c r="NA42" s="223"/>
      <c r="NB42" s="223"/>
      <c r="NC42" s="224"/>
      <c r="ND42" s="223"/>
      <c r="NE42" s="223"/>
      <c r="NF42" s="223"/>
      <c r="NG42" s="223"/>
      <c r="NH42" s="225"/>
      <c r="NI42" s="220"/>
      <c r="NJ42" s="221"/>
      <c r="NK42" s="222"/>
      <c r="NL42" s="222"/>
      <c r="NM42" s="223"/>
      <c r="NN42" s="223"/>
      <c r="NO42" s="224"/>
      <c r="NP42" s="223"/>
      <c r="NQ42" s="223"/>
      <c r="NR42" s="223"/>
      <c r="NS42" s="223"/>
      <c r="NT42" s="225"/>
      <c r="NU42" s="220"/>
      <c r="NV42" s="221"/>
      <c r="NW42" s="222"/>
      <c r="NX42" s="222"/>
      <c r="NY42" s="223"/>
      <c r="NZ42" s="223"/>
      <c r="OA42" s="224"/>
      <c r="OB42" s="223"/>
      <c r="OC42" s="223"/>
      <c r="OD42" s="223"/>
      <c r="OE42" s="223"/>
      <c r="OF42" s="225"/>
      <c r="OG42" s="220"/>
      <c r="OH42" s="221"/>
      <c r="OI42" s="222"/>
      <c r="OJ42" s="222"/>
      <c r="OK42" s="223"/>
      <c r="OL42" s="223"/>
      <c r="OM42" s="224"/>
      <c r="ON42" s="223"/>
      <c r="OO42" s="223"/>
      <c r="OP42" s="223"/>
      <c r="OQ42" s="223"/>
      <c r="OR42" s="225"/>
      <c r="OS42" s="220"/>
      <c r="OT42" s="221"/>
      <c r="OU42" s="222"/>
      <c r="OV42" s="222"/>
      <c r="OW42" s="223"/>
      <c r="OX42" s="223"/>
      <c r="OY42" s="224"/>
      <c r="OZ42" s="223"/>
      <c r="PA42" s="223"/>
      <c r="PB42" s="223"/>
      <c r="PC42" s="223"/>
      <c r="PD42" s="225"/>
      <c r="PE42" s="220"/>
      <c r="PF42" s="221"/>
      <c r="PG42" s="222"/>
      <c r="PH42" s="222"/>
      <c r="PI42" s="223"/>
      <c r="PJ42" s="223"/>
      <c r="PK42" s="224"/>
      <c r="PL42" s="223"/>
      <c r="PM42" s="223"/>
      <c r="PN42" s="223"/>
      <c r="PO42" s="223"/>
      <c r="PP42" s="225"/>
      <c r="PQ42" s="220"/>
      <c r="PR42" s="221"/>
      <c r="PS42" s="222"/>
      <c r="PT42" s="222"/>
      <c r="PU42" s="223"/>
      <c r="PV42" s="223"/>
      <c r="PW42" s="224"/>
      <c r="PX42" s="223"/>
      <c r="PY42" s="223"/>
      <c r="PZ42" s="223"/>
      <c r="QA42" s="223"/>
      <c r="QB42" s="225"/>
      <c r="QC42" s="220"/>
      <c r="QD42" s="221"/>
      <c r="QE42" s="222"/>
      <c r="QF42" s="222"/>
      <c r="QG42" s="223"/>
      <c r="QH42" s="223"/>
      <c r="QI42" s="224"/>
      <c r="QJ42" s="223"/>
      <c r="QK42" s="223"/>
      <c r="QL42" s="223"/>
      <c r="QM42" s="223"/>
      <c r="QN42" s="225"/>
      <c r="QO42" s="220"/>
      <c r="QP42" s="221"/>
      <c r="QQ42" s="222"/>
      <c r="QR42" s="222"/>
      <c r="QS42" s="223"/>
      <c r="QT42" s="223"/>
      <c r="QU42" s="224"/>
      <c r="QV42" s="223"/>
      <c r="QW42" s="223"/>
      <c r="QX42" s="223"/>
      <c r="QY42" s="223"/>
      <c r="QZ42" s="225"/>
      <c r="RA42" s="220"/>
      <c r="RB42" s="221"/>
      <c r="RC42" s="222"/>
      <c r="RD42" s="222"/>
      <c r="RE42" s="223"/>
      <c r="RF42" s="223"/>
      <c r="RG42" s="224"/>
      <c r="RH42" s="223"/>
      <c r="RI42" s="223"/>
      <c r="RJ42" s="223"/>
      <c r="RK42" s="223"/>
      <c r="RL42" s="225"/>
      <c r="RM42" s="220"/>
      <c r="RN42" s="221"/>
      <c r="RO42" s="222"/>
      <c r="RP42" s="222"/>
      <c r="RQ42" s="223"/>
      <c r="RR42" s="223"/>
      <c r="RS42" s="224"/>
      <c r="RT42" s="223"/>
      <c r="RU42" s="223"/>
      <c r="RV42" s="223"/>
      <c r="RW42" s="223"/>
      <c r="RX42" s="225"/>
      <c r="RY42" s="220"/>
      <c r="RZ42" s="221"/>
      <c r="SA42" s="222"/>
      <c r="SB42" s="222"/>
      <c r="SC42" s="223"/>
      <c r="SD42" s="223"/>
      <c r="SE42" s="224"/>
      <c r="SF42" s="223"/>
      <c r="SG42" s="223"/>
      <c r="SH42" s="223"/>
      <c r="SI42" s="223"/>
      <c r="SJ42" s="225"/>
      <c r="SK42" s="220"/>
      <c r="SL42" s="221"/>
      <c r="SM42" s="222"/>
      <c r="SN42" s="222"/>
      <c r="SO42" s="223"/>
      <c r="SP42" s="223"/>
      <c r="SQ42" s="224"/>
      <c r="SR42" s="223"/>
      <c r="SS42" s="223"/>
      <c r="ST42" s="223"/>
      <c r="SU42" s="223"/>
      <c r="SV42" s="225"/>
      <c r="SW42" s="220"/>
      <c r="SX42" s="221"/>
      <c r="SY42" s="222"/>
      <c r="SZ42" s="222"/>
      <c r="TA42" s="223"/>
      <c r="TB42" s="223"/>
      <c r="TC42" s="224"/>
      <c r="TD42" s="223"/>
      <c r="TE42" s="223"/>
      <c r="TF42" s="223"/>
      <c r="TG42" s="223"/>
      <c r="TH42" s="225"/>
      <c r="TI42" s="220"/>
      <c r="TJ42" s="221"/>
      <c r="TK42" s="222"/>
      <c r="TL42" s="222"/>
      <c r="TM42" s="223"/>
      <c r="TN42" s="223"/>
      <c r="TO42" s="224"/>
      <c r="TP42" s="223"/>
      <c r="TQ42" s="223"/>
      <c r="TR42" s="223"/>
      <c r="TS42" s="223"/>
      <c r="TT42" s="225"/>
      <c r="TU42" s="220"/>
      <c r="TV42" s="221"/>
      <c r="TW42" s="222"/>
      <c r="TX42" s="222"/>
      <c r="TY42" s="223"/>
      <c r="TZ42" s="223"/>
      <c r="UA42" s="224"/>
      <c r="UB42" s="223"/>
      <c r="UC42" s="223"/>
      <c r="UD42" s="223"/>
      <c r="UE42" s="223"/>
      <c r="UF42" s="225"/>
      <c r="UG42" s="220"/>
      <c r="UH42" s="221"/>
      <c r="UI42" s="222"/>
      <c r="UJ42" s="222"/>
      <c r="UK42" s="223"/>
      <c r="UL42" s="223"/>
      <c r="UM42" s="224"/>
      <c r="UN42" s="223"/>
      <c r="UO42" s="223"/>
      <c r="UP42" s="223"/>
      <c r="UQ42" s="223"/>
      <c r="UR42" s="225"/>
      <c r="US42" s="220"/>
      <c r="UT42" s="221"/>
      <c r="UU42" s="222"/>
      <c r="UV42" s="222"/>
      <c r="UW42" s="223"/>
      <c r="UX42" s="223"/>
      <c r="UY42" s="224"/>
      <c r="UZ42" s="223"/>
      <c r="VA42" s="223"/>
      <c r="VB42" s="223"/>
      <c r="VC42" s="223"/>
      <c r="VD42" s="225"/>
      <c r="VE42" s="220"/>
      <c r="VF42" s="221"/>
      <c r="VG42" s="222"/>
      <c r="VH42" s="222"/>
      <c r="VI42" s="223"/>
      <c r="VJ42" s="223"/>
      <c r="VK42" s="224"/>
      <c r="VL42" s="223"/>
      <c r="VM42" s="223"/>
      <c r="VN42" s="223"/>
      <c r="VO42" s="223"/>
      <c r="VP42" s="225"/>
      <c r="VQ42" s="220"/>
      <c r="VR42" s="221"/>
      <c r="VS42" s="222"/>
      <c r="VT42" s="222"/>
      <c r="VU42" s="223"/>
      <c r="VV42" s="223"/>
      <c r="VW42" s="224"/>
      <c r="VX42" s="223"/>
      <c r="VY42" s="223"/>
      <c r="VZ42" s="223"/>
      <c r="WA42" s="223"/>
      <c r="WB42" s="225"/>
      <c r="WC42" s="220"/>
      <c r="WD42" s="221"/>
      <c r="WE42" s="222"/>
      <c r="WF42" s="222"/>
      <c r="WG42" s="223"/>
      <c r="WH42" s="223"/>
      <c r="WI42" s="224"/>
      <c r="WJ42" s="223"/>
      <c r="WK42" s="223"/>
      <c r="WL42" s="223"/>
      <c r="WM42" s="223"/>
      <c r="WN42" s="225"/>
      <c r="WO42" s="220"/>
      <c r="WP42" s="221"/>
      <c r="WQ42" s="222"/>
      <c r="WR42" s="222"/>
      <c r="WS42" s="223"/>
      <c r="WT42" s="223"/>
      <c r="WU42" s="224"/>
      <c r="WV42" s="223"/>
      <c r="WW42" s="223"/>
      <c r="WX42" s="223"/>
      <c r="WY42" s="223"/>
      <c r="WZ42" s="225"/>
      <c r="XA42" s="220"/>
      <c r="XB42" s="221"/>
      <c r="XC42" s="222"/>
      <c r="XD42" s="222"/>
      <c r="XE42" s="223"/>
      <c r="XF42" s="223"/>
      <c r="XG42" s="224"/>
      <c r="XH42" s="223"/>
      <c r="XI42" s="223"/>
      <c r="XJ42" s="223"/>
      <c r="XK42" s="223"/>
      <c r="XL42" s="225"/>
      <c r="XM42" s="220"/>
      <c r="XN42" s="221"/>
      <c r="XO42" s="222"/>
      <c r="XP42" s="222"/>
      <c r="XQ42" s="223"/>
      <c r="XR42" s="223"/>
      <c r="XS42" s="224"/>
      <c r="XT42" s="223"/>
      <c r="XU42" s="223"/>
      <c r="XV42" s="223"/>
      <c r="XW42" s="223"/>
      <c r="XX42" s="225"/>
      <c r="XY42" s="220"/>
      <c r="XZ42" s="221"/>
      <c r="YA42" s="222"/>
      <c r="YB42" s="222"/>
      <c r="YC42" s="223"/>
      <c r="YD42" s="223"/>
      <c r="YE42" s="224"/>
      <c r="YF42" s="223"/>
      <c r="YG42" s="223"/>
      <c r="YH42" s="223"/>
      <c r="YI42" s="223"/>
      <c r="YJ42" s="225"/>
      <c r="YK42" s="220"/>
      <c r="YL42" s="221"/>
      <c r="YM42" s="222"/>
      <c r="YN42" s="222"/>
      <c r="YO42" s="223"/>
      <c r="YP42" s="223"/>
      <c r="YQ42" s="224"/>
      <c r="YR42" s="223"/>
      <c r="YS42" s="223"/>
      <c r="YT42" s="223"/>
      <c r="YU42" s="223"/>
      <c r="YV42" s="225"/>
      <c r="YW42" s="220"/>
      <c r="YX42" s="221"/>
      <c r="YY42" s="222"/>
      <c r="YZ42" s="222"/>
      <c r="ZA42" s="223"/>
      <c r="ZB42" s="223"/>
      <c r="ZC42" s="224"/>
      <c r="ZD42" s="223"/>
      <c r="ZE42" s="223"/>
      <c r="ZF42" s="223"/>
      <c r="ZG42" s="223"/>
      <c r="ZH42" s="225"/>
      <c r="ZI42" s="220"/>
      <c r="ZJ42" s="221"/>
      <c r="ZK42" s="222"/>
      <c r="ZL42" s="222"/>
      <c r="ZM42" s="223"/>
      <c r="ZN42" s="223"/>
      <c r="ZO42" s="224"/>
      <c r="ZP42" s="223"/>
      <c r="ZQ42" s="223"/>
      <c r="ZR42" s="223"/>
      <c r="ZS42" s="223"/>
      <c r="ZT42" s="225"/>
      <c r="ZU42" s="220"/>
      <c r="ZV42" s="221"/>
      <c r="ZW42" s="222"/>
      <c r="ZX42" s="222"/>
      <c r="ZY42" s="223"/>
      <c r="ZZ42" s="223"/>
      <c r="AAA42" s="224"/>
      <c r="AAB42" s="223"/>
      <c r="AAC42" s="223"/>
      <c r="AAD42" s="223"/>
      <c r="AAE42" s="223"/>
      <c r="AAF42" s="225"/>
      <c r="AAG42" s="220"/>
      <c r="AAH42" s="221"/>
      <c r="AAI42" s="222"/>
      <c r="AAJ42" s="222"/>
      <c r="AAK42" s="223"/>
      <c r="AAL42" s="223"/>
      <c r="AAM42" s="224"/>
      <c r="AAN42" s="223"/>
      <c r="AAO42" s="223"/>
      <c r="AAP42" s="223"/>
      <c r="AAQ42" s="223"/>
      <c r="AAR42" s="225"/>
      <c r="AAS42" s="220"/>
      <c r="AAT42" s="221"/>
      <c r="AAU42" s="222"/>
      <c r="AAV42" s="222"/>
      <c r="AAW42" s="223"/>
      <c r="AAX42" s="223"/>
      <c r="AAY42" s="224"/>
      <c r="AAZ42" s="223"/>
      <c r="ABA42" s="223"/>
      <c r="ABB42" s="223"/>
      <c r="ABC42" s="223"/>
      <c r="ABD42" s="225"/>
      <c r="ABE42" s="220"/>
      <c r="ABF42" s="221"/>
      <c r="ABG42" s="222"/>
      <c r="ABH42" s="222"/>
      <c r="ABI42" s="223"/>
      <c r="ABJ42" s="223"/>
      <c r="ABK42" s="224"/>
      <c r="ABL42" s="223"/>
      <c r="ABM42" s="223"/>
      <c r="ABN42" s="223"/>
      <c r="ABO42" s="223"/>
      <c r="ABP42" s="225"/>
      <c r="ABQ42" s="220"/>
      <c r="ABR42" s="221"/>
      <c r="ABS42" s="222"/>
      <c r="ABT42" s="222"/>
      <c r="ABU42" s="223"/>
      <c r="ABV42" s="223"/>
      <c r="ABW42" s="224"/>
      <c r="ABX42" s="223"/>
      <c r="ABY42" s="223"/>
      <c r="ABZ42" s="223"/>
      <c r="ACA42" s="223"/>
      <c r="ACB42" s="225"/>
      <c r="ACC42" s="220"/>
      <c r="ACD42" s="221"/>
      <c r="ACE42" s="222"/>
      <c r="ACF42" s="222"/>
      <c r="ACG42" s="223"/>
      <c r="ACH42" s="223"/>
      <c r="ACI42" s="224"/>
      <c r="ACJ42" s="223"/>
      <c r="ACK42" s="223"/>
      <c r="ACL42" s="223"/>
      <c r="ACM42" s="223"/>
      <c r="ACN42" s="225"/>
      <c r="ACO42" s="220"/>
      <c r="ACP42" s="221"/>
      <c r="ACQ42" s="222"/>
      <c r="ACR42" s="222"/>
      <c r="ACS42" s="223"/>
      <c r="ACT42" s="223"/>
      <c r="ACU42" s="224"/>
      <c r="ACV42" s="223"/>
      <c r="ACW42" s="223"/>
      <c r="ACX42" s="223"/>
      <c r="ACY42" s="223"/>
      <c r="ACZ42" s="225"/>
      <c r="ADA42" s="220"/>
      <c r="ADB42" s="221"/>
      <c r="ADC42" s="222"/>
      <c r="ADD42" s="222"/>
      <c r="ADE42" s="223"/>
      <c r="ADF42" s="223"/>
      <c r="ADG42" s="224"/>
      <c r="ADH42" s="223"/>
      <c r="ADI42" s="223"/>
      <c r="ADJ42" s="223"/>
      <c r="ADK42" s="223"/>
      <c r="ADL42" s="225"/>
      <c r="ADM42" s="220"/>
      <c r="ADN42" s="221"/>
      <c r="ADO42" s="222"/>
      <c r="ADP42" s="222"/>
      <c r="ADQ42" s="223"/>
      <c r="ADR42" s="223"/>
      <c r="ADS42" s="224"/>
      <c r="ADT42" s="223"/>
      <c r="ADU42" s="223"/>
      <c r="ADV42" s="223"/>
      <c r="ADW42" s="223"/>
      <c r="ADX42" s="225"/>
      <c r="ADY42" s="220"/>
      <c r="ADZ42" s="221"/>
      <c r="AEA42" s="222"/>
      <c r="AEB42" s="222"/>
      <c r="AEC42" s="223"/>
      <c r="AED42" s="223"/>
      <c r="AEE42" s="224"/>
      <c r="AEF42" s="223"/>
      <c r="AEG42" s="223"/>
      <c r="AEH42" s="223"/>
      <c r="AEI42" s="223"/>
      <c r="AEJ42" s="225"/>
      <c r="AEK42" s="220"/>
      <c r="AEL42" s="221"/>
      <c r="AEM42" s="222"/>
      <c r="AEN42" s="222"/>
      <c r="AEO42" s="223"/>
      <c r="AEP42" s="223"/>
      <c r="AEQ42" s="224"/>
      <c r="AER42" s="223"/>
      <c r="AES42" s="223"/>
      <c r="AET42" s="223"/>
      <c r="AEU42" s="223"/>
      <c r="AEV42" s="225"/>
      <c r="AEW42" s="220"/>
      <c r="AEX42" s="221"/>
      <c r="AEY42" s="222"/>
      <c r="AEZ42" s="222"/>
      <c r="AFA42" s="223"/>
      <c r="AFB42" s="223"/>
      <c r="AFC42" s="224"/>
      <c r="AFD42" s="223"/>
      <c r="AFE42" s="223"/>
      <c r="AFF42" s="223"/>
      <c r="AFG42" s="223"/>
      <c r="AFH42" s="225"/>
      <c r="AFI42" s="220"/>
      <c r="AFJ42" s="221"/>
      <c r="AFK42" s="222"/>
      <c r="AFL42" s="222"/>
      <c r="AFM42" s="223"/>
      <c r="AFN42" s="223"/>
      <c r="AFO42" s="224"/>
      <c r="AFP42" s="223"/>
      <c r="AFQ42" s="223"/>
      <c r="AFR42" s="223"/>
      <c r="AFS42" s="223"/>
      <c r="AFT42" s="225"/>
      <c r="AFU42" s="220"/>
      <c r="AFV42" s="221"/>
      <c r="AFW42" s="222"/>
      <c r="AFX42" s="222"/>
      <c r="AFY42" s="223"/>
      <c r="AFZ42" s="223"/>
      <c r="AGA42" s="224"/>
      <c r="AGB42" s="223"/>
      <c r="AGC42" s="223"/>
      <c r="AGD42" s="223"/>
      <c r="AGE42" s="223"/>
      <c r="AGF42" s="225"/>
      <c r="AGG42" s="220"/>
      <c r="AGH42" s="221"/>
      <c r="AGI42" s="222"/>
      <c r="AGJ42" s="222"/>
      <c r="AGK42" s="223"/>
      <c r="AGL42" s="223"/>
      <c r="AGM42" s="224"/>
      <c r="AGN42" s="223"/>
      <c r="AGO42" s="223"/>
      <c r="AGP42" s="223"/>
      <c r="AGQ42" s="223"/>
      <c r="AGR42" s="225"/>
      <c r="AGS42" s="220"/>
      <c r="AGT42" s="221"/>
      <c r="AGU42" s="222"/>
      <c r="AGV42" s="222"/>
      <c r="AGW42" s="223"/>
      <c r="AGX42" s="223"/>
      <c r="AGY42" s="224"/>
      <c r="AGZ42" s="223"/>
      <c r="AHA42" s="223"/>
      <c r="AHB42" s="223"/>
      <c r="AHC42" s="223"/>
      <c r="AHD42" s="225"/>
      <c r="AHE42" s="220"/>
      <c r="AHF42" s="221"/>
      <c r="AHG42" s="222"/>
      <c r="AHH42" s="222"/>
      <c r="AHI42" s="223"/>
      <c r="AHJ42" s="223"/>
      <c r="AHK42" s="224"/>
      <c r="AHL42" s="223"/>
      <c r="AHM42" s="223"/>
      <c r="AHN42" s="223"/>
      <c r="AHO42" s="223"/>
      <c r="AHP42" s="225"/>
      <c r="AHQ42" s="220"/>
      <c r="AHR42" s="221"/>
      <c r="AHS42" s="222"/>
      <c r="AHT42" s="222"/>
      <c r="AHU42" s="223"/>
      <c r="AHV42" s="223"/>
      <c r="AHW42" s="224"/>
      <c r="AHX42" s="223"/>
      <c r="AHY42" s="223"/>
      <c r="AHZ42" s="223"/>
      <c r="AIA42" s="223"/>
      <c r="AIB42" s="225"/>
      <c r="AIC42" s="220"/>
      <c r="AID42" s="221"/>
      <c r="AIE42" s="222"/>
      <c r="AIF42" s="222"/>
      <c r="AIG42" s="223"/>
      <c r="AIH42" s="223"/>
      <c r="AII42" s="224"/>
      <c r="AIJ42" s="223"/>
      <c r="AIK42" s="223"/>
      <c r="AIL42" s="223"/>
      <c r="AIM42" s="223"/>
      <c r="AIN42" s="225"/>
      <c r="AIO42" s="220"/>
      <c r="AIP42" s="221"/>
      <c r="AIQ42" s="222"/>
      <c r="AIR42" s="222"/>
      <c r="AIS42" s="223"/>
      <c r="AIT42" s="223"/>
      <c r="AIU42" s="224"/>
      <c r="AIV42" s="223"/>
      <c r="AIW42" s="223"/>
      <c r="AIX42" s="223"/>
      <c r="AIY42" s="223"/>
      <c r="AIZ42" s="225"/>
      <c r="AJA42" s="220"/>
      <c r="AJB42" s="221"/>
      <c r="AJC42" s="222"/>
      <c r="AJD42" s="222"/>
      <c r="AJE42" s="223"/>
      <c r="AJF42" s="223"/>
      <c r="AJG42" s="224"/>
      <c r="AJH42" s="223"/>
      <c r="AJI42" s="223"/>
      <c r="AJJ42" s="223"/>
      <c r="AJK42" s="223"/>
      <c r="AJL42" s="225"/>
      <c r="AJM42" s="220"/>
      <c r="AJN42" s="221"/>
      <c r="AJO42" s="222"/>
      <c r="AJP42" s="222"/>
      <c r="AJQ42" s="223"/>
      <c r="AJR42" s="223"/>
      <c r="AJS42" s="224"/>
      <c r="AJT42" s="223"/>
      <c r="AJU42" s="223"/>
      <c r="AJV42" s="223"/>
      <c r="AJW42" s="223"/>
      <c r="AJX42" s="225"/>
      <c r="AJY42" s="220"/>
      <c r="AJZ42" s="221"/>
      <c r="AKA42" s="222"/>
      <c r="AKB42" s="222"/>
      <c r="AKC42" s="223"/>
      <c r="AKD42" s="223"/>
      <c r="AKE42" s="224"/>
      <c r="AKF42" s="223"/>
      <c r="AKG42" s="223"/>
      <c r="AKH42" s="223"/>
      <c r="AKI42" s="223"/>
      <c r="AKJ42" s="225"/>
      <c r="AKK42" s="220"/>
      <c r="AKL42" s="221"/>
      <c r="AKM42" s="222"/>
      <c r="AKN42" s="222"/>
      <c r="AKO42" s="223"/>
      <c r="AKP42" s="223"/>
      <c r="AKQ42" s="224"/>
      <c r="AKR42" s="223"/>
      <c r="AKS42" s="223"/>
      <c r="AKT42" s="223"/>
      <c r="AKU42" s="223"/>
      <c r="AKV42" s="225"/>
      <c r="AKW42" s="220"/>
      <c r="AKX42" s="221"/>
      <c r="AKY42" s="222"/>
      <c r="AKZ42" s="222"/>
      <c r="ALA42" s="223"/>
      <c r="ALB42" s="223"/>
      <c r="ALC42" s="224"/>
      <c r="ALD42" s="223"/>
      <c r="ALE42" s="223"/>
      <c r="ALF42" s="223"/>
      <c r="ALG42" s="223"/>
      <c r="ALH42" s="225"/>
      <c r="ALI42" s="220"/>
      <c r="ALJ42" s="221"/>
      <c r="ALK42" s="222"/>
      <c r="ALL42" s="222"/>
      <c r="ALM42" s="223"/>
      <c r="ALN42" s="223"/>
      <c r="ALO42" s="224"/>
      <c r="ALP42" s="223"/>
      <c r="ALQ42" s="223"/>
      <c r="ALR42" s="223"/>
      <c r="ALS42" s="223"/>
      <c r="ALT42" s="225"/>
      <c r="ALU42" s="220"/>
      <c r="ALV42" s="221"/>
      <c r="ALW42" s="222"/>
      <c r="ALX42" s="222"/>
      <c r="ALY42" s="223"/>
      <c r="ALZ42" s="223"/>
      <c r="AMA42" s="224"/>
      <c r="AMB42" s="223"/>
      <c r="AMC42" s="223"/>
      <c r="AMD42" s="223"/>
      <c r="AME42" s="223"/>
      <c r="AMF42" s="225"/>
      <c r="AMG42" s="220"/>
      <c r="AMH42" s="221"/>
      <c r="AMI42" s="222"/>
      <c r="AMJ42" s="222"/>
      <c r="AMK42" s="223"/>
      <c r="AML42" s="223"/>
      <c r="AMM42" s="224"/>
      <c r="AMN42" s="223"/>
      <c r="AMO42" s="223"/>
      <c r="AMP42" s="223"/>
      <c r="AMQ42" s="223"/>
      <c r="AMR42" s="225"/>
      <c r="AMS42" s="220"/>
      <c r="AMT42" s="221"/>
      <c r="AMU42" s="222"/>
      <c r="AMV42" s="222"/>
      <c r="AMW42" s="223"/>
      <c r="AMX42" s="223"/>
      <c r="AMY42" s="224"/>
      <c r="AMZ42" s="223"/>
      <c r="ANA42" s="223"/>
      <c r="ANB42" s="223"/>
      <c r="ANC42" s="223"/>
      <c r="AND42" s="225"/>
      <c r="ANE42" s="220"/>
      <c r="ANF42" s="221"/>
      <c r="ANG42" s="222"/>
      <c r="ANH42" s="222"/>
      <c r="ANI42" s="223"/>
      <c r="ANJ42" s="223"/>
      <c r="ANK42" s="224"/>
      <c r="ANL42" s="223"/>
      <c r="ANM42" s="223"/>
      <c r="ANN42" s="223"/>
      <c r="ANO42" s="223"/>
      <c r="ANP42" s="225"/>
      <c r="ANQ42" s="220"/>
      <c r="ANR42" s="221"/>
      <c r="ANS42" s="222"/>
      <c r="ANT42" s="222"/>
      <c r="ANU42" s="223"/>
      <c r="ANV42" s="223"/>
      <c r="ANW42" s="224"/>
      <c r="ANX42" s="223"/>
      <c r="ANY42" s="223"/>
      <c r="ANZ42" s="223"/>
      <c r="AOA42" s="223"/>
      <c r="AOB42" s="225"/>
      <c r="AOC42" s="220"/>
      <c r="AOD42" s="221"/>
      <c r="AOE42" s="222"/>
      <c r="AOF42" s="222"/>
      <c r="AOG42" s="223"/>
      <c r="AOH42" s="223"/>
      <c r="AOI42" s="224"/>
      <c r="AOJ42" s="223"/>
      <c r="AOK42" s="223"/>
      <c r="AOL42" s="223"/>
      <c r="AOM42" s="223"/>
      <c r="AON42" s="225"/>
      <c r="AOO42" s="220"/>
      <c r="AOP42" s="221"/>
      <c r="AOQ42" s="222"/>
      <c r="AOR42" s="222"/>
      <c r="AOS42" s="223"/>
      <c r="AOT42" s="223"/>
      <c r="AOU42" s="224"/>
      <c r="AOV42" s="223"/>
      <c r="AOW42" s="223"/>
      <c r="AOX42" s="223"/>
      <c r="AOY42" s="223"/>
      <c r="AOZ42" s="225"/>
      <c r="APA42" s="220"/>
      <c r="APB42" s="221"/>
      <c r="APC42" s="222"/>
      <c r="APD42" s="222"/>
      <c r="APE42" s="223"/>
      <c r="APF42" s="223"/>
      <c r="APG42" s="224"/>
      <c r="APH42" s="223"/>
      <c r="API42" s="223"/>
      <c r="APJ42" s="223"/>
      <c r="APK42" s="223"/>
      <c r="APL42" s="225"/>
      <c r="APM42" s="220"/>
      <c r="APN42" s="221"/>
      <c r="APO42" s="222"/>
      <c r="APP42" s="222"/>
      <c r="APQ42" s="223"/>
      <c r="APR42" s="223"/>
      <c r="APS42" s="224"/>
      <c r="APT42" s="223"/>
      <c r="APU42" s="223"/>
      <c r="APV42" s="223"/>
      <c r="APW42" s="223"/>
      <c r="APX42" s="225"/>
      <c r="APY42" s="220"/>
      <c r="APZ42" s="221"/>
      <c r="AQA42" s="222"/>
      <c r="AQB42" s="222"/>
      <c r="AQC42" s="223"/>
      <c r="AQD42" s="223"/>
      <c r="AQE42" s="224"/>
      <c r="AQF42" s="223"/>
      <c r="AQG42" s="223"/>
      <c r="AQH42" s="223"/>
      <c r="AQI42" s="223"/>
      <c r="AQJ42" s="225"/>
      <c r="AQK42" s="220"/>
      <c r="AQL42" s="221"/>
      <c r="AQM42" s="222"/>
      <c r="AQN42" s="222"/>
      <c r="AQO42" s="223"/>
      <c r="AQP42" s="223"/>
      <c r="AQQ42" s="224"/>
      <c r="AQR42" s="223"/>
      <c r="AQS42" s="223"/>
      <c r="AQT42" s="223"/>
      <c r="AQU42" s="223"/>
      <c r="AQV42" s="225"/>
      <c r="AQW42" s="220"/>
      <c r="AQX42" s="221"/>
      <c r="AQY42" s="222"/>
      <c r="AQZ42" s="222"/>
      <c r="ARA42" s="223"/>
      <c r="ARB42" s="223"/>
      <c r="ARC42" s="224"/>
      <c r="ARD42" s="223"/>
      <c r="ARE42" s="223"/>
      <c r="ARF42" s="223"/>
      <c r="ARG42" s="223"/>
      <c r="ARH42" s="225"/>
      <c r="ARI42" s="220"/>
      <c r="ARJ42" s="221"/>
      <c r="ARK42" s="222"/>
      <c r="ARL42" s="222"/>
      <c r="ARM42" s="223"/>
      <c r="ARN42" s="223"/>
      <c r="ARO42" s="224"/>
      <c r="ARP42" s="223"/>
      <c r="ARQ42" s="223"/>
      <c r="ARR42" s="223"/>
      <c r="ARS42" s="223"/>
      <c r="ART42" s="225"/>
      <c r="ARU42" s="220"/>
      <c r="ARV42" s="221"/>
      <c r="ARW42" s="222"/>
      <c r="ARX42" s="222"/>
      <c r="ARY42" s="223"/>
      <c r="ARZ42" s="223"/>
      <c r="ASA42" s="224"/>
      <c r="ASB42" s="223"/>
      <c r="ASC42" s="223"/>
      <c r="ASD42" s="223"/>
      <c r="ASE42" s="223"/>
      <c r="ASF42" s="225"/>
      <c r="ASG42" s="220"/>
      <c r="ASH42" s="221"/>
      <c r="ASI42" s="222"/>
      <c r="ASJ42" s="222"/>
      <c r="ASK42" s="223"/>
      <c r="ASL42" s="223"/>
      <c r="ASM42" s="224"/>
      <c r="ASN42" s="223"/>
      <c r="ASO42" s="223"/>
      <c r="ASP42" s="223"/>
      <c r="ASQ42" s="223"/>
      <c r="ASR42" s="225"/>
      <c r="ASS42" s="220"/>
      <c r="AST42" s="221"/>
      <c r="ASU42" s="222"/>
      <c r="ASV42" s="222"/>
      <c r="ASW42" s="223"/>
      <c r="ASX42" s="223"/>
      <c r="ASY42" s="224"/>
      <c r="ASZ42" s="223"/>
      <c r="ATA42" s="223"/>
      <c r="ATB42" s="223"/>
      <c r="ATC42" s="223"/>
      <c r="ATD42" s="225"/>
      <c r="ATE42" s="220"/>
      <c r="ATF42" s="221"/>
      <c r="ATG42" s="222"/>
      <c r="ATH42" s="222"/>
      <c r="ATI42" s="223"/>
      <c r="ATJ42" s="223"/>
      <c r="ATK42" s="224"/>
      <c r="ATL42" s="223"/>
      <c r="ATM42" s="223"/>
      <c r="ATN42" s="223"/>
      <c r="ATO42" s="223"/>
      <c r="ATP42" s="225"/>
      <c r="ATQ42" s="220"/>
      <c r="ATR42" s="221"/>
      <c r="ATS42" s="222"/>
      <c r="ATT42" s="222"/>
      <c r="ATU42" s="223"/>
      <c r="ATV42" s="223"/>
      <c r="ATW42" s="224"/>
      <c r="ATX42" s="223"/>
      <c r="ATY42" s="223"/>
      <c r="ATZ42" s="223"/>
      <c r="AUA42" s="223"/>
      <c r="AUB42" s="225"/>
      <c r="AUC42" s="220"/>
      <c r="AUD42" s="221"/>
      <c r="AUE42" s="222"/>
      <c r="AUF42" s="222"/>
      <c r="AUG42" s="223"/>
      <c r="AUH42" s="223"/>
      <c r="AUI42" s="224"/>
      <c r="AUJ42" s="223"/>
      <c r="AUK42" s="223"/>
      <c r="AUL42" s="223"/>
      <c r="AUM42" s="223"/>
      <c r="AUN42" s="225"/>
      <c r="AUO42" s="220"/>
      <c r="AUP42" s="221"/>
      <c r="AUQ42" s="222"/>
      <c r="AUR42" s="222"/>
      <c r="AUS42" s="223"/>
      <c r="AUT42" s="223"/>
      <c r="AUU42" s="224"/>
      <c r="AUV42" s="223"/>
      <c r="AUW42" s="223"/>
      <c r="AUX42" s="223"/>
      <c r="AUY42" s="223"/>
      <c r="AUZ42" s="225"/>
      <c r="AVA42" s="220"/>
      <c r="AVB42" s="221"/>
      <c r="AVC42" s="222"/>
      <c r="AVD42" s="222"/>
      <c r="AVE42" s="223"/>
      <c r="AVF42" s="223"/>
      <c r="AVG42" s="224"/>
      <c r="AVH42" s="223"/>
      <c r="AVI42" s="223"/>
      <c r="AVJ42" s="223"/>
      <c r="AVK42" s="223"/>
      <c r="AVL42" s="225"/>
      <c r="AVM42" s="220"/>
      <c r="AVN42" s="221"/>
      <c r="AVO42" s="222"/>
      <c r="AVP42" s="222"/>
      <c r="AVQ42" s="223"/>
      <c r="AVR42" s="223"/>
      <c r="AVS42" s="224"/>
      <c r="AVT42" s="223"/>
      <c r="AVU42" s="223"/>
      <c r="AVV42" s="223"/>
      <c r="AVW42" s="223"/>
      <c r="AVX42" s="225"/>
      <c r="AVY42" s="220"/>
      <c r="AVZ42" s="221"/>
      <c r="AWA42" s="222"/>
      <c r="AWB42" s="222"/>
      <c r="AWC42" s="223"/>
      <c r="AWD42" s="223"/>
      <c r="AWE42" s="224"/>
      <c r="AWF42" s="223"/>
      <c r="AWG42" s="223"/>
      <c r="AWH42" s="223"/>
      <c r="AWI42" s="223"/>
      <c r="AWJ42" s="225"/>
      <c r="AWK42" s="220"/>
      <c r="AWL42" s="221"/>
      <c r="AWM42" s="222"/>
      <c r="AWN42" s="222"/>
      <c r="AWO42" s="223"/>
      <c r="AWP42" s="223"/>
      <c r="AWQ42" s="224"/>
      <c r="AWR42" s="223"/>
      <c r="AWS42" s="223"/>
      <c r="AWT42" s="223"/>
      <c r="AWU42" s="223"/>
      <c r="AWV42" s="225"/>
      <c r="AWW42" s="220"/>
      <c r="AWX42" s="221"/>
      <c r="AWY42" s="222"/>
      <c r="AWZ42" s="222"/>
      <c r="AXA42" s="223"/>
      <c r="AXB42" s="223"/>
      <c r="AXC42" s="224"/>
      <c r="AXD42" s="223"/>
      <c r="AXE42" s="223"/>
      <c r="AXF42" s="223"/>
      <c r="AXG42" s="223"/>
      <c r="AXH42" s="225"/>
      <c r="AXI42" s="220"/>
      <c r="AXJ42" s="221"/>
      <c r="AXK42" s="222"/>
      <c r="AXL42" s="222"/>
      <c r="AXM42" s="223"/>
      <c r="AXN42" s="223"/>
      <c r="AXO42" s="224"/>
      <c r="AXP42" s="223"/>
      <c r="AXQ42" s="223"/>
      <c r="AXR42" s="223"/>
      <c r="AXS42" s="223"/>
      <c r="AXT42" s="225"/>
      <c r="AXU42" s="220"/>
      <c r="AXV42" s="221"/>
      <c r="AXW42" s="222"/>
      <c r="AXX42" s="222"/>
      <c r="AXY42" s="223"/>
      <c r="AXZ42" s="223"/>
      <c r="AYA42" s="224"/>
      <c r="AYB42" s="223"/>
      <c r="AYC42" s="223"/>
      <c r="AYD42" s="223"/>
      <c r="AYE42" s="223"/>
      <c r="AYF42" s="225"/>
      <c r="AYG42" s="220"/>
      <c r="AYH42" s="221"/>
      <c r="AYI42" s="222"/>
      <c r="AYJ42" s="222"/>
      <c r="AYK42" s="223"/>
      <c r="AYL42" s="223"/>
      <c r="AYM42" s="224"/>
      <c r="AYN42" s="223"/>
      <c r="AYO42" s="223"/>
      <c r="AYP42" s="223"/>
      <c r="AYQ42" s="223"/>
      <c r="AYR42" s="225"/>
      <c r="AYS42" s="220"/>
      <c r="AYT42" s="221"/>
      <c r="AYU42" s="222"/>
      <c r="AYV42" s="222"/>
      <c r="AYW42" s="223"/>
      <c r="AYX42" s="223"/>
      <c r="AYY42" s="224"/>
      <c r="AYZ42" s="223"/>
      <c r="AZA42" s="223"/>
      <c r="AZB42" s="223"/>
      <c r="AZC42" s="223"/>
      <c r="AZD42" s="225"/>
      <c r="AZE42" s="220"/>
      <c r="AZF42" s="221"/>
      <c r="AZG42" s="222"/>
      <c r="AZH42" s="222"/>
      <c r="AZI42" s="223"/>
      <c r="AZJ42" s="223"/>
      <c r="AZK42" s="224"/>
      <c r="AZL42" s="223"/>
      <c r="AZM42" s="223"/>
      <c r="AZN42" s="223"/>
      <c r="AZO42" s="223"/>
      <c r="AZP42" s="225"/>
      <c r="AZQ42" s="220"/>
      <c r="AZR42" s="221"/>
      <c r="AZS42" s="222"/>
      <c r="AZT42" s="222"/>
      <c r="AZU42" s="223"/>
      <c r="AZV42" s="223"/>
      <c r="AZW42" s="224"/>
      <c r="AZX42" s="223"/>
      <c r="AZY42" s="223"/>
      <c r="AZZ42" s="223"/>
      <c r="BAA42" s="223"/>
      <c r="BAB42" s="225"/>
      <c r="BAC42" s="220"/>
      <c r="BAD42" s="221"/>
      <c r="BAE42" s="222"/>
      <c r="BAF42" s="222"/>
      <c r="BAG42" s="223"/>
      <c r="BAH42" s="223"/>
      <c r="BAI42" s="224"/>
      <c r="BAJ42" s="223"/>
      <c r="BAK42" s="223"/>
      <c r="BAL42" s="223"/>
      <c r="BAM42" s="223"/>
      <c r="BAN42" s="225"/>
      <c r="BAO42" s="220"/>
      <c r="BAP42" s="221"/>
      <c r="BAQ42" s="222"/>
      <c r="BAR42" s="222"/>
      <c r="BAS42" s="223"/>
      <c r="BAT42" s="223"/>
      <c r="BAU42" s="224"/>
      <c r="BAV42" s="223"/>
      <c r="BAW42" s="223"/>
      <c r="BAX42" s="223"/>
      <c r="BAY42" s="223"/>
      <c r="BAZ42" s="225"/>
      <c r="BBA42" s="220"/>
      <c r="BBB42" s="221"/>
      <c r="BBC42" s="222"/>
      <c r="BBD42" s="222"/>
      <c r="BBE42" s="223"/>
      <c r="BBF42" s="223"/>
      <c r="BBG42" s="224"/>
      <c r="BBH42" s="223"/>
      <c r="BBI42" s="223"/>
      <c r="BBJ42" s="223"/>
      <c r="BBK42" s="223"/>
      <c r="BBL42" s="225"/>
      <c r="BBM42" s="220"/>
      <c r="BBN42" s="221"/>
      <c r="BBO42" s="222"/>
      <c r="BBP42" s="222"/>
      <c r="BBQ42" s="223"/>
      <c r="BBR42" s="223"/>
      <c r="BBS42" s="224"/>
      <c r="BBT42" s="223"/>
      <c r="BBU42" s="223"/>
      <c r="BBV42" s="223"/>
      <c r="BBW42" s="223"/>
      <c r="BBX42" s="225"/>
      <c r="BBY42" s="220"/>
      <c r="BBZ42" s="221"/>
      <c r="BCA42" s="222"/>
      <c r="BCB42" s="222"/>
      <c r="BCC42" s="223"/>
      <c r="BCD42" s="223"/>
      <c r="BCE42" s="224"/>
      <c r="BCF42" s="223"/>
      <c r="BCG42" s="223"/>
      <c r="BCH42" s="223"/>
      <c r="BCI42" s="223"/>
      <c r="BCJ42" s="225"/>
      <c r="BCK42" s="220"/>
      <c r="BCL42" s="221"/>
      <c r="BCM42" s="222"/>
      <c r="BCN42" s="222"/>
      <c r="BCO42" s="223"/>
      <c r="BCP42" s="223"/>
      <c r="BCQ42" s="224"/>
      <c r="BCR42" s="223"/>
      <c r="BCS42" s="223"/>
      <c r="BCT42" s="223"/>
      <c r="BCU42" s="223"/>
      <c r="BCV42" s="225"/>
      <c r="BCW42" s="220"/>
      <c r="BCX42" s="221"/>
      <c r="BCY42" s="222"/>
      <c r="BCZ42" s="222"/>
      <c r="BDA42" s="223"/>
      <c r="BDB42" s="223"/>
      <c r="BDC42" s="224"/>
      <c r="BDD42" s="223"/>
      <c r="BDE42" s="223"/>
      <c r="BDF42" s="223"/>
      <c r="BDG42" s="223"/>
      <c r="BDH42" s="225"/>
      <c r="BDI42" s="220"/>
      <c r="BDJ42" s="221"/>
      <c r="BDK42" s="222"/>
      <c r="BDL42" s="222"/>
      <c r="BDM42" s="223"/>
      <c r="BDN42" s="223"/>
      <c r="BDO42" s="224"/>
      <c r="BDP42" s="223"/>
      <c r="BDQ42" s="223"/>
      <c r="BDR42" s="223"/>
      <c r="BDS42" s="223"/>
      <c r="BDT42" s="225"/>
      <c r="BDU42" s="220"/>
      <c r="BDV42" s="221"/>
      <c r="BDW42" s="222"/>
      <c r="BDX42" s="222"/>
      <c r="BDY42" s="223"/>
      <c r="BDZ42" s="223"/>
      <c r="BEA42" s="224"/>
      <c r="BEB42" s="223"/>
      <c r="BEC42" s="223"/>
      <c r="BED42" s="223"/>
      <c r="BEE42" s="223"/>
      <c r="BEF42" s="225"/>
      <c r="BEG42" s="220"/>
      <c r="BEH42" s="221"/>
      <c r="BEI42" s="222"/>
      <c r="BEJ42" s="222"/>
      <c r="BEK42" s="223"/>
      <c r="BEL42" s="223"/>
      <c r="BEM42" s="224"/>
      <c r="BEN42" s="223"/>
      <c r="BEO42" s="223"/>
      <c r="BEP42" s="223"/>
      <c r="BEQ42" s="223"/>
      <c r="BER42" s="225"/>
      <c r="BES42" s="220"/>
      <c r="BET42" s="221"/>
      <c r="BEU42" s="222"/>
      <c r="BEV42" s="222"/>
      <c r="BEW42" s="223"/>
      <c r="BEX42" s="223"/>
      <c r="BEY42" s="224"/>
      <c r="BEZ42" s="223"/>
      <c r="BFA42" s="223"/>
      <c r="BFB42" s="223"/>
      <c r="BFC42" s="223"/>
      <c r="BFD42" s="225"/>
      <c r="BFE42" s="220"/>
      <c r="BFF42" s="221"/>
      <c r="BFG42" s="222"/>
      <c r="BFH42" s="222"/>
      <c r="BFI42" s="223"/>
      <c r="BFJ42" s="223"/>
      <c r="BFK42" s="224"/>
      <c r="BFL42" s="223"/>
      <c r="BFM42" s="223"/>
      <c r="BFN42" s="223"/>
      <c r="BFO42" s="223"/>
      <c r="BFP42" s="225"/>
      <c r="BFQ42" s="220"/>
      <c r="BFR42" s="221"/>
      <c r="BFS42" s="222"/>
      <c r="BFT42" s="222"/>
      <c r="BFU42" s="223"/>
      <c r="BFV42" s="223"/>
      <c r="BFW42" s="224"/>
      <c r="BFX42" s="223"/>
      <c r="BFY42" s="223"/>
      <c r="BFZ42" s="223"/>
      <c r="BGA42" s="223"/>
      <c r="BGB42" s="225"/>
      <c r="BGC42" s="220"/>
      <c r="BGD42" s="221"/>
      <c r="BGE42" s="222"/>
      <c r="BGF42" s="222"/>
      <c r="BGG42" s="223"/>
      <c r="BGH42" s="223"/>
      <c r="BGI42" s="224"/>
      <c r="BGJ42" s="223"/>
      <c r="BGK42" s="223"/>
      <c r="BGL42" s="223"/>
      <c r="BGM42" s="223"/>
      <c r="BGN42" s="225"/>
      <c r="BGO42" s="220"/>
      <c r="BGP42" s="221"/>
      <c r="BGQ42" s="222"/>
      <c r="BGR42" s="222"/>
      <c r="BGS42" s="223"/>
      <c r="BGT42" s="223"/>
      <c r="BGU42" s="224"/>
      <c r="BGV42" s="223"/>
      <c r="BGW42" s="223"/>
      <c r="BGX42" s="223"/>
      <c r="BGY42" s="223"/>
      <c r="BGZ42" s="225"/>
      <c r="BHA42" s="220"/>
      <c r="BHB42" s="221"/>
      <c r="BHC42" s="222"/>
      <c r="BHD42" s="222"/>
      <c r="BHE42" s="223"/>
      <c r="BHF42" s="223"/>
      <c r="BHG42" s="224"/>
      <c r="BHH42" s="223"/>
      <c r="BHI42" s="223"/>
      <c r="BHJ42" s="223"/>
      <c r="BHK42" s="223"/>
      <c r="BHL42" s="225"/>
      <c r="BHM42" s="220"/>
      <c r="BHN42" s="221"/>
      <c r="BHO42" s="222"/>
      <c r="BHP42" s="222"/>
      <c r="BHQ42" s="223"/>
      <c r="BHR42" s="223"/>
      <c r="BHS42" s="224"/>
      <c r="BHT42" s="223"/>
      <c r="BHU42" s="223"/>
      <c r="BHV42" s="223"/>
      <c r="BHW42" s="223"/>
      <c r="BHX42" s="225"/>
      <c r="BHY42" s="220"/>
      <c r="BHZ42" s="221"/>
      <c r="BIA42" s="222"/>
      <c r="BIB42" s="222"/>
      <c r="BIC42" s="223"/>
      <c r="BID42" s="223"/>
      <c r="BIE42" s="224"/>
      <c r="BIF42" s="223"/>
      <c r="BIG42" s="223"/>
      <c r="BIH42" s="223"/>
      <c r="BII42" s="223"/>
      <c r="BIJ42" s="225"/>
      <c r="BIK42" s="220"/>
      <c r="BIL42" s="221"/>
      <c r="BIM42" s="222"/>
      <c r="BIN42" s="222"/>
      <c r="BIO42" s="223"/>
      <c r="BIP42" s="223"/>
      <c r="BIQ42" s="224"/>
      <c r="BIR42" s="223"/>
      <c r="BIS42" s="223"/>
      <c r="BIT42" s="223"/>
      <c r="BIU42" s="223"/>
      <c r="BIV42" s="225"/>
      <c r="BIW42" s="220"/>
      <c r="BIX42" s="221"/>
      <c r="BIY42" s="222"/>
      <c r="BIZ42" s="222"/>
      <c r="BJA42" s="223"/>
      <c r="BJB42" s="223"/>
      <c r="BJC42" s="224"/>
      <c r="BJD42" s="223"/>
      <c r="BJE42" s="223"/>
      <c r="BJF42" s="223"/>
      <c r="BJG42" s="223"/>
      <c r="BJH42" s="225"/>
      <c r="BJI42" s="220"/>
      <c r="BJJ42" s="221"/>
      <c r="BJK42" s="222"/>
      <c r="BJL42" s="222"/>
      <c r="BJM42" s="223"/>
      <c r="BJN42" s="223"/>
      <c r="BJO42" s="224"/>
      <c r="BJP42" s="223"/>
      <c r="BJQ42" s="223"/>
      <c r="BJR42" s="223"/>
      <c r="BJS42" s="223"/>
      <c r="BJT42" s="225"/>
      <c r="BJU42" s="220"/>
      <c r="BJV42" s="221"/>
      <c r="BJW42" s="222"/>
      <c r="BJX42" s="222"/>
      <c r="BJY42" s="223"/>
      <c r="BJZ42" s="223"/>
      <c r="BKA42" s="224"/>
      <c r="BKB42" s="223"/>
      <c r="BKC42" s="223"/>
      <c r="BKD42" s="223"/>
      <c r="BKE42" s="223"/>
      <c r="BKF42" s="225"/>
      <c r="BKG42" s="220"/>
      <c r="BKH42" s="221"/>
      <c r="BKI42" s="222"/>
      <c r="BKJ42" s="222"/>
      <c r="BKK42" s="223"/>
      <c r="BKL42" s="223"/>
      <c r="BKM42" s="224"/>
      <c r="BKN42" s="223"/>
      <c r="BKO42" s="223"/>
      <c r="BKP42" s="223"/>
      <c r="BKQ42" s="223"/>
      <c r="BKR42" s="225"/>
      <c r="BKS42" s="220"/>
      <c r="BKT42" s="221"/>
      <c r="BKU42" s="222"/>
      <c r="BKV42" s="222"/>
      <c r="BKW42" s="223"/>
      <c r="BKX42" s="223"/>
      <c r="BKY42" s="224"/>
      <c r="BKZ42" s="223"/>
      <c r="BLA42" s="223"/>
      <c r="BLB42" s="223"/>
      <c r="BLC42" s="223"/>
      <c r="BLD42" s="225"/>
      <c r="BLE42" s="220"/>
      <c r="BLF42" s="221"/>
      <c r="BLG42" s="222"/>
      <c r="BLH42" s="222"/>
      <c r="BLI42" s="223"/>
      <c r="BLJ42" s="223"/>
      <c r="BLK42" s="224"/>
      <c r="BLL42" s="223"/>
      <c r="BLM42" s="223"/>
      <c r="BLN42" s="223"/>
      <c r="BLO42" s="223"/>
      <c r="BLP42" s="225"/>
      <c r="BLQ42" s="220"/>
      <c r="BLR42" s="221"/>
      <c r="BLS42" s="222"/>
      <c r="BLT42" s="222"/>
      <c r="BLU42" s="223"/>
      <c r="BLV42" s="223"/>
      <c r="BLW42" s="224"/>
      <c r="BLX42" s="223"/>
      <c r="BLY42" s="223"/>
      <c r="BLZ42" s="223"/>
      <c r="BMA42" s="223"/>
      <c r="BMB42" s="225"/>
      <c r="BMC42" s="220"/>
      <c r="BMD42" s="221"/>
      <c r="BME42" s="222"/>
      <c r="BMF42" s="222"/>
      <c r="BMG42" s="223"/>
      <c r="BMH42" s="223"/>
      <c r="BMI42" s="224"/>
      <c r="BMJ42" s="223"/>
      <c r="BMK42" s="223"/>
      <c r="BML42" s="223"/>
      <c r="BMM42" s="223"/>
      <c r="BMN42" s="225"/>
      <c r="BMO42" s="220"/>
      <c r="BMP42" s="221"/>
      <c r="BMQ42" s="222"/>
      <c r="BMR42" s="222"/>
      <c r="BMS42" s="223"/>
      <c r="BMT42" s="223"/>
      <c r="BMU42" s="224"/>
      <c r="BMV42" s="223"/>
      <c r="BMW42" s="223"/>
      <c r="BMX42" s="223"/>
      <c r="BMY42" s="223"/>
      <c r="BMZ42" s="225"/>
      <c r="BNA42" s="220"/>
      <c r="BNB42" s="221"/>
      <c r="BNC42" s="222"/>
      <c r="BND42" s="222"/>
      <c r="BNE42" s="223"/>
      <c r="BNF42" s="223"/>
      <c r="BNG42" s="224"/>
      <c r="BNH42" s="223"/>
      <c r="BNI42" s="223"/>
      <c r="BNJ42" s="223"/>
      <c r="BNK42" s="223"/>
      <c r="BNL42" s="225"/>
      <c r="BNM42" s="220"/>
      <c r="BNN42" s="221"/>
      <c r="BNO42" s="222"/>
      <c r="BNP42" s="222"/>
      <c r="BNQ42" s="223"/>
      <c r="BNR42" s="223"/>
      <c r="BNS42" s="224"/>
      <c r="BNT42" s="223"/>
      <c r="BNU42" s="223"/>
      <c r="BNV42" s="223"/>
      <c r="BNW42" s="223"/>
      <c r="BNX42" s="225"/>
      <c r="BNY42" s="220"/>
      <c r="BNZ42" s="221"/>
      <c r="BOA42" s="222"/>
      <c r="BOB42" s="222"/>
      <c r="BOC42" s="223"/>
      <c r="BOD42" s="223"/>
      <c r="BOE42" s="224"/>
      <c r="BOF42" s="223"/>
      <c r="BOG42" s="223"/>
      <c r="BOH42" s="223"/>
      <c r="BOI42" s="223"/>
      <c r="BOJ42" s="225"/>
      <c r="BOK42" s="220"/>
      <c r="BOL42" s="221"/>
      <c r="BOM42" s="222"/>
      <c r="BON42" s="222"/>
      <c r="BOO42" s="223"/>
      <c r="BOP42" s="223"/>
      <c r="BOQ42" s="224"/>
      <c r="BOR42" s="223"/>
      <c r="BOS42" s="223"/>
      <c r="BOT42" s="223"/>
      <c r="BOU42" s="223"/>
      <c r="BOV42" s="225"/>
      <c r="BOW42" s="220"/>
      <c r="BOX42" s="221"/>
      <c r="BOY42" s="222"/>
      <c r="BOZ42" s="222"/>
      <c r="BPA42" s="223"/>
      <c r="BPB42" s="223"/>
      <c r="BPC42" s="224"/>
      <c r="BPD42" s="223"/>
      <c r="BPE42" s="223"/>
      <c r="BPF42" s="223"/>
      <c r="BPG42" s="223"/>
      <c r="BPH42" s="225"/>
      <c r="BPI42" s="220"/>
      <c r="BPJ42" s="221"/>
      <c r="BPK42" s="222"/>
      <c r="BPL42" s="222"/>
      <c r="BPM42" s="223"/>
      <c r="BPN42" s="223"/>
      <c r="BPO42" s="224"/>
      <c r="BPP42" s="223"/>
      <c r="BPQ42" s="223"/>
      <c r="BPR42" s="223"/>
      <c r="BPS42" s="223"/>
      <c r="BPT42" s="225"/>
      <c r="BPU42" s="220"/>
      <c r="BPV42" s="221"/>
      <c r="BPW42" s="222"/>
      <c r="BPX42" s="222"/>
      <c r="BPY42" s="223"/>
      <c r="BPZ42" s="223"/>
      <c r="BQA42" s="224"/>
      <c r="BQB42" s="223"/>
      <c r="BQC42" s="223"/>
      <c r="BQD42" s="223"/>
      <c r="BQE42" s="223"/>
      <c r="BQF42" s="225"/>
      <c r="BQG42" s="220"/>
      <c r="BQH42" s="221"/>
      <c r="BQI42" s="222"/>
      <c r="BQJ42" s="222"/>
      <c r="BQK42" s="223"/>
      <c r="BQL42" s="223"/>
      <c r="BQM42" s="224"/>
      <c r="BQN42" s="223"/>
      <c r="BQO42" s="223"/>
      <c r="BQP42" s="223"/>
      <c r="BQQ42" s="223"/>
      <c r="BQR42" s="225"/>
      <c r="BQS42" s="220"/>
      <c r="BQT42" s="221"/>
      <c r="BQU42" s="222"/>
      <c r="BQV42" s="222"/>
      <c r="BQW42" s="223"/>
      <c r="BQX42" s="223"/>
      <c r="BQY42" s="224"/>
      <c r="BQZ42" s="223"/>
      <c r="BRA42" s="223"/>
      <c r="BRB42" s="223"/>
      <c r="BRC42" s="223"/>
      <c r="BRD42" s="225"/>
      <c r="BRE42" s="220"/>
      <c r="BRF42" s="221"/>
      <c r="BRG42" s="222"/>
      <c r="BRH42" s="222"/>
      <c r="BRI42" s="223"/>
      <c r="BRJ42" s="223"/>
      <c r="BRK42" s="224"/>
      <c r="BRL42" s="223"/>
      <c r="BRM42" s="223"/>
      <c r="BRN42" s="223"/>
      <c r="BRO42" s="223"/>
      <c r="BRP42" s="225"/>
      <c r="BRQ42" s="220"/>
      <c r="BRR42" s="221"/>
      <c r="BRS42" s="222"/>
      <c r="BRT42" s="222"/>
      <c r="BRU42" s="223"/>
      <c r="BRV42" s="223"/>
      <c r="BRW42" s="224"/>
      <c r="BRX42" s="223"/>
      <c r="BRY42" s="223"/>
      <c r="BRZ42" s="223"/>
      <c r="BSA42" s="223"/>
      <c r="BSB42" s="225"/>
      <c r="BSC42" s="220"/>
      <c r="BSD42" s="221"/>
      <c r="BSE42" s="222"/>
      <c r="BSF42" s="222"/>
      <c r="BSG42" s="223"/>
      <c r="BSH42" s="223"/>
      <c r="BSI42" s="224"/>
      <c r="BSJ42" s="223"/>
      <c r="BSK42" s="223"/>
      <c r="BSL42" s="223"/>
      <c r="BSM42" s="223"/>
      <c r="BSN42" s="225"/>
      <c r="BSO42" s="220"/>
      <c r="BSP42" s="221"/>
      <c r="BSQ42" s="222"/>
      <c r="BSR42" s="222"/>
      <c r="BSS42" s="223"/>
      <c r="BST42" s="223"/>
      <c r="BSU42" s="224"/>
      <c r="BSV42" s="223"/>
      <c r="BSW42" s="223"/>
      <c r="BSX42" s="223"/>
      <c r="BSY42" s="223"/>
      <c r="BSZ42" s="225"/>
      <c r="BTA42" s="220"/>
      <c r="BTB42" s="221"/>
      <c r="BTC42" s="222"/>
      <c r="BTD42" s="222"/>
      <c r="BTE42" s="223"/>
      <c r="BTF42" s="223"/>
      <c r="BTG42" s="224"/>
      <c r="BTH42" s="223"/>
      <c r="BTI42" s="223"/>
      <c r="BTJ42" s="223"/>
      <c r="BTK42" s="223"/>
      <c r="BTL42" s="225"/>
      <c r="BTM42" s="220"/>
      <c r="BTN42" s="221"/>
      <c r="BTO42" s="222"/>
      <c r="BTP42" s="222"/>
      <c r="BTQ42" s="223"/>
      <c r="BTR42" s="223"/>
      <c r="BTS42" s="224"/>
      <c r="BTT42" s="223"/>
      <c r="BTU42" s="223"/>
      <c r="BTV42" s="223"/>
      <c r="BTW42" s="223"/>
      <c r="BTX42" s="225"/>
      <c r="BTY42" s="220"/>
      <c r="BTZ42" s="221"/>
      <c r="BUA42" s="222"/>
      <c r="BUB42" s="222"/>
      <c r="BUC42" s="223"/>
      <c r="BUD42" s="223"/>
      <c r="BUE42" s="224"/>
      <c r="BUF42" s="223"/>
      <c r="BUG42" s="223"/>
      <c r="BUH42" s="223"/>
      <c r="BUI42" s="223"/>
      <c r="BUJ42" s="225"/>
      <c r="BUK42" s="220"/>
      <c r="BUL42" s="221"/>
      <c r="BUM42" s="222"/>
      <c r="BUN42" s="222"/>
      <c r="BUO42" s="223"/>
      <c r="BUP42" s="223"/>
      <c r="BUQ42" s="224"/>
      <c r="BUR42" s="223"/>
      <c r="BUS42" s="223"/>
      <c r="BUT42" s="223"/>
      <c r="BUU42" s="223"/>
      <c r="BUV42" s="225"/>
      <c r="BUW42" s="220"/>
      <c r="BUX42" s="221"/>
      <c r="BUY42" s="222"/>
      <c r="BUZ42" s="222"/>
      <c r="BVA42" s="223"/>
      <c r="BVB42" s="223"/>
      <c r="BVC42" s="224"/>
      <c r="BVD42" s="223"/>
      <c r="BVE42" s="223"/>
      <c r="BVF42" s="223"/>
      <c r="BVG42" s="223"/>
      <c r="BVH42" s="225"/>
      <c r="BVI42" s="220"/>
      <c r="BVJ42" s="221"/>
      <c r="BVK42" s="222"/>
      <c r="BVL42" s="222"/>
      <c r="BVM42" s="223"/>
      <c r="BVN42" s="223"/>
      <c r="BVO42" s="224"/>
      <c r="BVP42" s="223"/>
      <c r="BVQ42" s="223"/>
      <c r="BVR42" s="223"/>
      <c r="BVS42" s="223"/>
      <c r="BVT42" s="225"/>
      <c r="BVU42" s="220"/>
      <c r="BVV42" s="221"/>
      <c r="BVW42" s="222"/>
      <c r="BVX42" s="222"/>
      <c r="BVY42" s="223"/>
      <c r="BVZ42" s="223"/>
      <c r="BWA42" s="224"/>
      <c r="BWB42" s="223"/>
      <c r="BWC42" s="223"/>
      <c r="BWD42" s="223"/>
      <c r="BWE42" s="223"/>
      <c r="BWF42" s="225"/>
      <c r="BWG42" s="220"/>
      <c r="BWH42" s="221"/>
      <c r="BWI42" s="222"/>
      <c r="BWJ42" s="222"/>
      <c r="BWK42" s="223"/>
      <c r="BWL42" s="223"/>
      <c r="BWM42" s="224"/>
      <c r="BWN42" s="223"/>
      <c r="BWO42" s="223"/>
      <c r="BWP42" s="223"/>
      <c r="BWQ42" s="223"/>
      <c r="BWR42" s="225"/>
      <c r="BWS42" s="220"/>
      <c r="BWT42" s="221"/>
      <c r="BWU42" s="222"/>
      <c r="BWV42" s="222"/>
      <c r="BWW42" s="223"/>
      <c r="BWX42" s="223"/>
      <c r="BWY42" s="224"/>
      <c r="BWZ42" s="223"/>
      <c r="BXA42" s="223"/>
      <c r="BXB42" s="223"/>
      <c r="BXC42" s="223"/>
      <c r="BXD42" s="225"/>
      <c r="BXE42" s="220"/>
      <c r="BXF42" s="221"/>
      <c r="BXG42" s="222"/>
      <c r="BXH42" s="222"/>
      <c r="BXI42" s="223"/>
      <c r="BXJ42" s="223"/>
      <c r="BXK42" s="224"/>
      <c r="BXL42" s="223"/>
      <c r="BXM42" s="223"/>
      <c r="BXN42" s="223"/>
      <c r="BXO42" s="223"/>
      <c r="BXP42" s="225"/>
      <c r="BXQ42" s="220"/>
      <c r="BXR42" s="221"/>
      <c r="BXS42" s="222"/>
      <c r="BXT42" s="222"/>
      <c r="BXU42" s="223"/>
      <c r="BXV42" s="223"/>
      <c r="BXW42" s="224"/>
      <c r="BXX42" s="223"/>
      <c r="BXY42" s="223"/>
      <c r="BXZ42" s="223"/>
      <c r="BYA42" s="223"/>
      <c r="BYB42" s="225"/>
      <c r="BYC42" s="220"/>
      <c r="BYD42" s="221"/>
      <c r="BYE42" s="222"/>
      <c r="BYF42" s="222"/>
      <c r="BYG42" s="223"/>
      <c r="BYH42" s="223"/>
      <c r="BYI42" s="224"/>
      <c r="BYJ42" s="223"/>
      <c r="BYK42" s="223"/>
      <c r="BYL42" s="223"/>
      <c r="BYM42" s="223"/>
      <c r="BYN42" s="225"/>
      <c r="BYO42" s="220"/>
      <c r="BYP42" s="221"/>
      <c r="BYQ42" s="222"/>
      <c r="BYR42" s="222"/>
      <c r="BYS42" s="223"/>
      <c r="BYT42" s="223"/>
      <c r="BYU42" s="224"/>
      <c r="BYV42" s="223"/>
      <c r="BYW42" s="223"/>
      <c r="BYX42" s="223"/>
      <c r="BYY42" s="223"/>
      <c r="BYZ42" s="225"/>
      <c r="BZA42" s="220"/>
      <c r="BZB42" s="221"/>
      <c r="BZC42" s="222"/>
      <c r="BZD42" s="222"/>
      <c r="BZE42" s="223"/>
      <c r="BZF42" s="223"/>
      <c r="BZG42" s="224"/>
      <c r="BZH42" s="223"/>
      <c r="BZI42" s="223"/>
      <c r="BZJ42" s="223"/>
      <c r="BZK42" s="223"/>
      <c r="BZL42" s="225"/>
      <c r="BZM42" s="220"/>
      <c r="BZN42" s="221"/>
      <c r="BZO42" s="222"/>
      <c r="BZP42" s="222"/>
      <c r="BZQ42" s="223"/>
      <c r="BZR42" s="223"/>
      <c r="BZS42" s="224"/>
      <c r="BZT42" s="223"/>
      <c r="BZU42" s="223"/>
      <c r="BZV42" s="223"/>
      <c r="BZW42" s="223"/>
      <c r="BZX42" s="225"/>
      <c r="BZY42" s="220"/>
      <c r="BZZ42" s="221"/>
      <c r="CAA42" s="222"/>
      <c r="CAB42" s="222"/>
      <c r="CAC42" s="223"/>
      <c r="CAD42" s="223"/>
      <c r="CAE42" s="224"/>
      <c r="CAF42" s="223"/>
      <c r="CAG42" s="223"/>
      <c r="CAH42" s="223"/>
      <c r="CAI42" s="223"/>
      <c r="CAJ42" s="225"/>
      <c r="CAK42" s="220"/>
      <c r="CAL42" s="221"/>
      <c r="CAM42" s="222"/>
      <c r="CAN42" s="222"/>
      <c r="CAO42" s="223"/>
      <c r="CAP42" s="223"/>
      <c r="CAQ42" s="224"/>
      <c r="CAR42" s="223"/>
      <c r="CAS42" s="223"/>
      <c r="CAT42" s="223"/>
      <c r="CAU42" s="223"/>
      <c r="CAV42" s="225"/>
      <c r="CAW42" s="220"/>
      <c r="CAX42" s="221"/>
      <c r="CAY42" s="222"/>
      <c r="CAZ42" s="222"/>
      <c r="CBA42" s="223"/>
      <c r="CBB42" s="223"/>
      <c r="CBC42" s="224"/>
      <c r="CBD42" s="223"/>
      <c r="CBE42" s="223"/>
      <c r="CBF42" s="223"/>
      <c r="CBG42" s="223"/>
      <c r="CBH42" s="225"/>
      <c r="CBI42" s="220"/>
      <c r="CBJ42" s="221"/>
      <c r="CBK42" s="222"/>
      <c r="CBL42" s="222"/>
      <c r="CBM42" s="223"/>
      <c r="CBN42" s="223"/>
      <c r="CBO42" s="224"/>
      <c r="CBP42" s="223"/>
      <c r="CBQ42" s="223"/>
      <c r="CBR42" s="223"/>
      <c r="CBS42" s="223"/>
      <c r="CBT42" s="225"/>
      <c r="CBU42" s="220"/>
      <c r="CBV42" s="221"/>
      <c r="CBW42" s="222"/>
      <c r="CBX42" s="222"/>
      <c r="CBY42" s="223"/>
      <c r="CBZ42" s="223"/>
      <c r="CCA42" s="224"/>
      <c r="CCB42" s="223"/>
      <c r="CCC42" s="223"/>
      <c r="CCD42" s="223"/>
      <c r="CCE42" s="223"/>
      <c r="CCF42" s="225"/>
      <c r="CCG42" s="220"/>
      <c r="CCH42" s="221"/>
      <c r="CCI42" s="222"/>
      <c r="CCJ42" s="222"/>
      <c r="CCK42" s="223"/>
      <c r="CCL42" s="223"/>
      <c r="CCM42" s="224"/>
      <c r="CCN42" s="223"/>
      <c r="CCO42" s="223"/>
      <c r="CCP42" s="223"/>
      <c r="CCQ42" s="223"/>
      <c r="CCR42" s="225"/>
      <c r="CCS42" s="220"/>
      <c r="CCT42" s="221"/>
      <c r="CCU42" s="222"/>
      <c r="CCV42" s="222"/>
      <c r="CCW42" s="223"/>
      <c r="CCX42" s="223"/>
      <c r="CCY42" s="224"/>
      <c r="CCZ42" s="223"/>
      <c r="CDA42" s="223"/>
      <c r="CDB42" s="223"/>
      <c r="CDC42" s="223"/>
      <c r="CDD42" s="225"/>
      <c r="CDE42" s="220"/>
      <c r="CDF42" s="221"/>
      <c r="CDG42" s="222"/>
      <c r="CDH42" s="222"/>
      <c r="CDI42" s="223"/>
      <c r="CDJ42" s="223"/>
      <c r="CDK42" s="224"/>
      <c r="CDL42" s="223"/>
      <c r="CDM42" s="223"/>
      <c r="CDN42" s="223"/>
      <c r="CDO42" s="223"/>
      <c r="CDP42" s="225"/>
      <c r="CDQ42" s="220"/>
      <c r="CDR42" s="221"/>
      <c r="CDS42" s="222"/>
      <c r="CDT42" s="222"/>
      <c r="CDU42" s="223"/>
      <c r="CDV42" s="223"/>
      <c r="CDW42" s="224"/>
      <c r="CDX42" s="223"/>
      <c r="CDY42" s="223"/>
      <c r="CDZ42" s="223"/>
      <c r="CEA42" s="223"/>
      <c r="CEB42" s="225"/>
      <c r="CEC42" s="220"/>
      <c r="CED42" s="221"/>
      <c r="CEE42" s="222"/>
      <c r="CEF42" s="222"/>
      <c r="CEG42" s="223"/>
      <c r="CEH42" s="223"/>
      <c r="CEI42" s="224"/>
      <c r="CEJ42" s="223"/>
      <c r="CEK42" s="223"/>
      <c r="CEL42" s="223"/>
      <c r="CEM42" s="223"/>
      <c r="CEN42" s="225"/>
      <c r="CEO42" s="220"/>
      <c r="CEP42" s="221"/>
      <c r="CEQ42" s="222"/>
      <c r="CER42" s="222"/>
      <c r="CES42" s="223"/>
      <c r="CET42" s="223"/>
      <c r="CEU42" s="224"/>
      <c r="CEV42" s="223"/>
      <c r="CEW42" s="223"/>
      <c r="CEX42" s="223"/>
      <c r="CEY42" s="223"/>
      <c r="CEZ42" s="225"/>
      <c r="CFA42" s="220"/>
      <c r="CFB42" s="221"/>
      <c r="CFC42" s="222"/>
      <c r="CFD42" s="222"/>
      <c r="CFE42" s="223"/>
      <c r="CFF42" s="223"/>
      <c r="CFG42" s="224"/>
      <c r="CFH42" s="223"/>
      <c r="CFI42" s="223"/>
      <c r="CFJ42" s="223"/>
      <c r="CFK42" s="223"/>
      <c r="CFL42" s="225"/>
      <c r="CFM42" s="220"/>
      <c r="CFN42" s="221"/>
      <c r="CFO42" s="222"/>
      <c r="CFP42" s="222"/>
      <c r="CFQ42" s="223"/>
      <c r="CFR42" s="223"/>
      <c r="CFS42" s="224"/>
      <c r="CFT42" s="223"/>
      <c r="CFU42" s="223"/>
      <c r="CFV42" s="223"/>
      <c r="CFW42" s="223"/>
      <c r="CFX42" s="225"/>
      <c r="CFY42" s="220"/>
      <c r="CFZ42" s="221"/>
      <c r="CGA42" s="222"/>
      <c r="CGB42" s="222"/>
      <c r="CGC42" s="223"/>
      <c r="CGD42" s="223"/>
      <c r="CGE42" s="224"/>
      <c r="CGF42" s="223"/>
      <c r="CGG42" s="223"/>
      <c r="CGH42" s="223"/>
      <c r="CGI42" s="223"/>
      <c r="CGJ42" s="225"/>
      <c r="CGK42" s="220"/>
      <c r="CGL42" s="221"/>
      <c r="CGM42" s="222"/>
      <c r="CGN42" s="222"/>
      <c r="CGO42" s="223"/>
      <c r="CGP42" s="223"/>
      <c r="CGQ42" s="224"/>
      <c r="CGR42" s="223"/>
      <c r="CGS42" s="223"/>
      <c r="CGT42" s="223"/>
      <c r="CGU42" s="223"/>
      <c r="CGV42" s="225"/>
      <c r="CGW42" s="220"/>
      <c r="CGX42" s="221"/>
      <c r="CGY42" s="222"/>
      <c r="CGZ42" s="222"/>
      <c r="CHA42" s="223"/>
      <c r="CHB42" s="223"/>
      <c r="CHC42" s="224"/>
      <c r="CHD42" s="223"/>
      <c r="CHE42" s="223"/>
      <c r="CHF42" s="223"/>
      <c r="CHG42" s="223"/>
      <c r="CHH42" s="225"/>
      <c r="CHI42" s="220"/>
      <c r="CHJ42" s="221"/>
      <c r="CHK42" s="222"/>
      <c r="CHL42" s="222"/>
      <c r="CHM42" s="223"/>
      <c r="CHN42" s="223"/>
      <c r="CHO42" s="224"/>
      <c r="CHP42" s="223"/>
      <c r="CHQ42" s="223"/>
      <c r="CHR42" s="223"/>
      <c r="CHS42" s="223"/>
      <c r="CHT42" s="225"/>
      <c r="CHU42" s="220"/>
      <c r="CHV42" s="221"/>
      <c r="CHW42" s="222"/>
      <c r="CHX42" s="222"/>
      <c r="CHY42" s="223"/>
      <c r="CHZ42" s="223"/>
      <c r="CIA42" s="224"/>
      <c r="CIB42" s="223"/>
      <c r="CIC42" s="223"/>
      <c r="CID42" s="223"/>
      <c r="CIE42" s="223"/>
      <c r="CIF42" s="225"/>
      <c r="CIG42" s="220"/>
      <c r="CIH42" s="221"/>
      <c r="CII42" s="222"/>
      <c r="CIJ42" s="222"/>
      <c r="CIK42" s="223"/>
      <c r="CIL42" s="223"/>
      <c r="CIM42" s="224"/>
      <c r="CIN42" s="223"/>
      <c r="CIO42" s="223"/>
      <c r="CIP42" s="223"/>
      <c r="CIQ42" s="223"/>
      <c r="CIR42" s="225"/>
      <c r="CIS42" s="220"/>
      <c r="CIT42" s="221"/>
      <c r="CIU42" s="222"/>
      <c r="CIV42" s="222"/>
      <c r="CIW42" s="223"/>
      <c r="CIX42" s="223"/>
      <c r="CIY42" s="224"/>
      <c r="CIZ42" s="223"/>
      <c r="CJA42" s="223"/>
      <c r="CJB42" s="223"/>
      <c r="CJC42" s="223"/>
      <c r="CJD42" s="225"/>
      <c r="CJE42" s="220"/>
      <c r="CJF42" s="221"/>
      <c r="CJG42" s="222"/>
      <c r="CJH42" s="222"/>
      <c r="CJI42" s="223"/>
      <c r="CJJ42" s="223"/>
      <c r="CJK42" s="224"/>
      <c r="CJL42" s="223"/>
      <c r="CJM42" s="223"/>
      <c r="CJN42" s="223"/>
      <c r="CJO42" s="223"/>
      <c r="CJP42" s="225"/>
      <c r="CJQ42" s="220"/>
      <c r="CJR42" s="221"/>
      <c r="CJS42" s="222"/>
      <c r="CJT42" s="222"/>
      <c r="CJU42" s="223"/>
      <c r="CJV42" s="223"/>
      <c r="CJW42" s="224"/>
      <c r="CJX42" s="223"/>
      <c r="CJY42" s="223"/>
      <c r="CJZ42" s="223"/>
      <c r="CKA42" s="223"/>
      <c r="CKB42" s="225"/>
      <c r="CKC42" s="220"/>
      <c r="CKD42" s="221"/>
      <c r="CKE42" s="222"/>
      <c r="CKF42" s="222"/>
      <c r="CKG42" s="223"/>
      <c r="CKH42" s="223"/>
      <c r="CKI42" s="224"/>
      <c r="CKJ42" s="223"/>
      <c r="CKK42" s="223"/>
      <c r="CKL42" s="223"/>
      <c r="CKM42" s="223"/>
      <c r="CKN42" s="225"/>
      <c r="CKO42" s="220"/>
      <c r="CKP42" s="221"/>
      <c r="CKQ42" s="222"/>
      <c r="CKR42" s="222"/>
      <c r="CKS42" s="223"/>
      <c r="CKT42" s="223"/>
      <c r="CKU42" s="224"/>
      <c r="CKV42" s="223"/>
      <c r="CKW42" s="223"/>
      <c r="CKX42" s="223"/>
      <c r="CKY42" s="223"/>
      <c r="CKZ42" s="225"/>
      <c r="CLA42" s="220"/>
      <c r="CLB42" s="221"/>
      <c r="CLC42" s="222"/>
      <c r="CLD42" s="222"/>
      <c r="CLE42" s="223"/>
      <c r="CLF42" s="223"/>
      <c r="CLG42" s="224"/>
      <c r="CLH42" s="223"/>
      <c r="CLI42" s="223"/>
      <c r="CLJ42" s="223"/>
      <c r="CLK42" s="223"/>
      <c r="CLL42" s="225"/>
      <c r="CLM42" s="220"/>
      <c r="CLN42" s="221"/>
      <c r="CLO42" s="222"/>
      <c r="CLP42" s="222"/>
      <c r="CLQ42" s="223"/>
      <c r="CLR42" s="223"/>
      <c r="CLS42" s="224"/>
      <c r="CLT42" s="223"/>
      <c r="CLU42" s="223"/>
      <c r="CLV42" s="223"/>
      <c r="CLW42" s="223"/>
      <c r="CLX42" s="225"/>
      <c r="CLY42" s="220"/>
      <c r="CLZ42" s="221"/>
      <c r="CMA42" s="222"/>
      <c r="CMB42" s="222"/>
      <c r="CMC42" s="223"/>
      <c r="CMD42" s="223"/>
      <c r="CME42" s="224"/>
      <c r="CMF42" s="223"/>
      <c r="CMG42" s="223"/>
      <c r="CMH42" s="223"/>
      <c r="CMI42" s="223"/>
      <c r="CMJ42" s="225"/>
      <c r="CMK42" s="220"/>
      <c r="CML42" s="221"/>
      <c r="CMM42" s="222"/>
      <c r="CMN42" s="222"/>
      <c r="CMO42" s="223"/>
      <c r="CMP42" s="223"/>
      <c r="CMQ42" s="224"/>
      <c r="CMR42" s="223"/>
      <c r="CMS42" s="223"/>
      <c r="CMT42" s="223"/>
      <c r="CMU42" s="223"/>
      <c r="CMV42" s="225"/>
      <c r="CMW42" s="220"/>
      <c r="CMX42" s="221"/>
      <c r="CMY42" s="222"/>
      <c r="CMZ42" s="222"/>
      <c r="CNA42" s="223"/>
      <c r="CNB42" s="223"/>
      <c r="CNC42" s="224"/>
      <c r="CND42" s="223"/>
      <c r="CNE42" s="223"/>
      <c r="CNF42" s="223"/>
      <c r="CNG42" s="223"/>
      <c r="CNH42" s="225"/>
      <c r="CNI42" s="220"/>
      <c r="CNJ42" s="221"/>
      <c r="CNK42" s="222"/>
      <c r="CNL42" s="222"/>
      <c r="CNM42" s="223"/>
      <c r="CNN42" s="223"/>
      <c r="CNO42" s="224"/>
      <c r="CNP42" s="223"/>
      <c r="CNQ42" s="223"/>
      <c r="CNR42" s="223"/>
      <c r="CNS42" s="223"/>
      <c r="CNT42" s="225"/>
      <c r="CNU42" s="220"/>
      <c r="CNV42" s="221"/>
      <c r="CNW42" s="222"/>
      <c r="CNX42" s="222"/>
      <c r="CNY42" s="223"/>
      <c r="CNZ42" s="223"/>
      <c r="COA42" s="224"/>
      <c r="COB42" s="223"/>
      <c r="COC42" s="223"/>
      <c r="COD42" s="223"/>
      <c r="COE42" s="223"/>
      <c r="COF42" s="225"/>
      <c r="COG42" s="220"/>
      <c r="COH42" s="221"/>
      <c r="COI42" s="222"/>
      <c r="COJ42" s="222"/>
      <c r="COK42" s="223"/>
      <c r="COL42" s="223"/>
      <c r="COM42" s="224"/>
      <c r="CON42" s="223"/>
      <c r="COO42" s="223"/>
      <c r="COP42" s="223"/>
      <c r="COQ42" s="223"/>
      <c r="COR42" s="225"/>
      <c r="COS42" s="220"/>
      <c r="COT42" s="221"/>
      <c r="COU42" s="222"/>
      <c r="COV42" s="222"/>
      <c r="COW42" s="223"/>
      <c r="COX42" s="223"/>
      <c r="COY42" s="224"/>
      <c r="COZ42" s="223"/>
      <c r="CPA42" s="223"/>
      <c r="CPB42" s="223"/>
      <c r="CPC42" s="223"/>
      <c r="CPD42" s="225"/>
      <c r="CPE42" s="220"/>
      <c r="CPF42" s="221"/>
      <c r="CPG42" s="222"/>
      <c r="CPH42" s="222"/>
      <c r="CPI42" s="223"/>
      <c r="CPJ42" s="223"/>
      <c r="CPK42" s="224"/>
      <c r="CPL42" s="223"/>
      <c r="CPM42" s="223"/>
      <c r="CPN42" s="223"/>
      <c r="CPO42" s="223"/>
      <c r="CPP42" s="225"/>
      <c r="CPQ42" s="220"/>
      <c r="CPR42" s="221"/>
      <c r="CPS42" s="222"/>
      <c r="CPT42" s="222"/>
      <c r="CPU42" s="223"/>
      <c r="CPV42" s="223"/>
      <c r="CPW42" s="224"/>
      <c r="CPX42" s="223"/>
      <c r="CPY42" s="223"/>
      <c r="CPZ42" s="223"/>
      <c r="CQA42" s="223"/>
      <c r="CQB42" s="225"/>
      <c r="CQC42" s="220"/>
      <c r="CQD42" s="221"/>
      <c r="CQE42" s="222"/>
      <c r="CQF42" s="222"/>
      <c r="CQG42" s="223"/>
      <c r="CQH42" s="223"/>
      <c r="CQI42" s="224"/>
      <c r="CQJ42" s="223"/>
      <c r="CQK42" s="223"/>
      <c r="CQL42" s="223"/>
      <c r="CQM42" s="223"/>
      <c r="CQN42" s="225"/>
      <c r="CQO42" s="220"/>
      <c r="CQP42" s="221"/>
      <c r="CQQ42" s="222"/>
      <c r="CQR42" s="222"/>
      <c r="CQS42" s="223"/>
      <c r="CQT42" s="223"/>
      <c r="CQU42" s="224"/>
      <c r="CQV42" s="223"/>
      <c r="CQW42" s="223"/>
      <c r="CQX42" s="223"/>
      <c r="CQY42" s="223"/>
      <c r="CQZ42" s="225"/>
      <c r="CRA42" s="220"/>
      <c r="CRB42" s="221"/>
      <c r="CRC42" s="222"/>
      <c r="CRD42" s="222"/>
      <c r="CRE42" s="223"/>
      <c r="CRF42" s="223"/>
      <c r="CRG42" s="224"/>
      <c r="CRH42" s="223"/>
      <c r="CRI42" s="223"/>
      <c r="CRJ42" s="223"/>
      <c r="CRK42" s="223"/>
      <c r="CRL42" s="225"/>
      <c r="CRM42" s="220"/>
      <c r="CRN42" s="221"/>
      <c r="CRO42" s="222"/>
      <c r="CRP42" s="222"/>
      <c r="CRQ42" s="223"/>
      <c r="CRR42" s="223"/>
      <c r="CRS42" s="224"/>
      <c r="CRT42" s="223"/>
      <c r="CRU42" s="223"/>
      <c r="CRV42" s="223"/>
      <c r="CRW42" s="223"/>
      <c r="CRX42" s="225"/>
      <c r="CRY42" s="220"/>
      <c r="CRZ42" s="221"/>
      <c r="CSA42" s="222"/>
      <c r="CSB42" s="222"/>
      <c r="CSC42" s="223"/>
      <c r="CSD42" s="223"/>
      <c r="CSE42" s="224"/>
      <c r="CSF42" s="223"/>
      <c r="CSG42" s="223"/>
      <c r="CSH42" s="223"/>
      <c r="CSI42" s="223"/>
      <c r="CSJ42" s="225"/>
      <c r="CSK42" s="220"/>
      <c r="CSL42" s="221"/>
      <c r="CSM42" s="222"/>
      <c r="CSN42" s="222"/>
      <c r="CSO42" s="223"/>
      <c r="CSP42" s="223"/>
      <c r="CSQ42" s="224"/>
      <c r="CSR42" s="223"/>
      <c r="CSS42" s="223"/>
      <c r="CST42" s="223"/>
      <c r="CSU42" s="223"/>
      <c r="CSV42" s="225"/>
      <c r="CSW42" s="220"/>
      <c r="CSX42" s="221"/>
      <c r="CSY42" s="222"/>
      <c r="CSZ42" s="222"/>
      <c r="CTA42" s="223"/>
      <c r="CTB42" s="223"/>
      <c r="CTC42" s="224"/>
      <c r="CTD42" s="223"/>
      <c r="CTE42" s="223"/>
      <c r="CTF42" s="223"/>
      <c r="CTG42" s="223"/>
      <c r="CTH42" s="225"/>
      <c r="CTI42" s="220"/>
      <c r="CTJ42" s="221"/>
      <c r="CTK42" s="222"/>
      <c r="CTL42" s="222"/>
      <c r="CTM42" s="223"/>
      <c r="CTN42" s="223"/>
      <c r="CTO42" s="224"/>
      <c r="CTP42" s="223"/>
      <c r="CTQ42" s="223"/>
      <c r="CTR42" s="223"/>
      <c r="CTS42" s="223"/>
      <c r="CTT42" s="225"/>
      <c r="CTU42" s="220"/>
      <c r="CTV42" s="221"/>
      <c r="CTW42" s="222"/>
      <c r="CTX42" s="222"/>
      <c r="CTY42" s="223"/>
      <c r="CTZ42" s="223"/>
      <c r="CUA42" s="224"/>
      <c r="CUB42" s="223"/>
      <c r="CUC42" s="223"/>
      <c r="CUD42" s="223"/>
      <c r="CUE42" s="223"/>
      <c r="CUF42" s="225"/>
      <c r="CUG42" s="220"/>
      <c r="CUH42" s="221"/>
      <c r="CUI42" s="222"/>
      <c r="CUJ42" s="222"/>
      <c r="CUK42" s="223"/>
      <c r="CUL42" s="223"/>
      <c r="CUM42" s="224"/>
      <c r="CUN42" s="223"/>
      <c r="CUO42" s="223"/>
      <c r="CUP42" s="223"/>
      <c r="CUQ42" s="223"/>
      <c r="CUR42" s="225"/>
      <c r="CUS42" s="220"/>
      <c r="CUT42" s="221"/>
      <c r="CUU42" s="222"/>
      <c r="CUV42" s="222"/>
      <c r="CUW42" s="223"/>
      <c r="CUX42" s="223"/>
      <c r="CUY42" s="224"/>
      <c r="CUZ42" s="223"/>
      <c r="CVA42" s="223"/>
      <c r="CVB42" s="223"/>
      <c r="CVC42" s="223"/>
      <c r="CVD42" s="225"/>
      <c r="CVE42" s="220"/>
      <c r="CVF42" s="221"/>
      <c r="CVG42" s="222"/>
      <c r="CVH42" s="222"/>
      <c r="CVI42" s="223"/>
      <c r="CVJ42" s="223"/>
      <c r="CVK42" s="224"/>
      <c r="CVL42" s="223"/>
      <c r="CVM42" s="223"/>
      <c r="CVN42" s="223"/>
      <c r="CVO42" s="223"/>
      <c r="CVP42" s="225"/>
      <c r="CVQ42" s="220"/>
      <c r="CVR42" s="221"/>
      <c r="CVS42" s="222"/>
      <c r="CVT42" s="222"/>
      <c r="CVU42" s="223"/>
      <c r="CVV42" s="223"/>
      <c r="CVW42" s="224"/>
      <c r="CVX42" s="223"/>
      <c r="CVY42" s="223"/>
      <c r="CVZ42" s="223"/>
      <c r="CWA42" s="223"/>
      <c r="CWB42" s="225"/>
      <c r="CWC42" s="220"/>
      <c r="CWD42" s="221"/>
      <c r="CWE42" s="222"/>
      <c r="CWF42" s="222"/>
      <c r="CWG42" s="223"/>
      <c r="CWH42" s="223"/>
      <c r="CWI42" s="224"/>
      <c r="CWJ42" s="223"/>
      <c r="CWK42" s="223"/>
      <c r="CWL42" s="223"/>
      <c r="CWM42" s="223"/>
      <c r="CWN42" s="225"/>
      <c r="CWO42" s="220"/>
      <c r="CWP42" s="221"/>
      <c r="CWQ42" s="222"/>
      <c r="CWR42" s="222"/>
      <c r="CWS42" s="223"/>
      <c r="CWT42" s="223"/>
      <c r="CWU42" s="224"/>
      <c r="CWV42" s="223"/>
      <c r="CWW42" s="223"/>
      <c r="CWX42" s="223"/>
      <c r="CWY42" s="223"/>
      <c r="CWZ42" s="225"/>
      <c r="CXA42" s="220"/>
      <c r="CXB42" s="221"/>
      <c r="CXC42" s="222"/>
      <c r="CXD42" s="222"/>
      <c r="CXE42" s="223"/>
      <c r="CXF42" s="223"/>
      <c r="CXG42" s="224"/>
      <c r="CXH42" s="223"/>
      <c r="CXI42" s="223"/>
      <c r="CXJ42" s="223"/>
      <c r="CXK42" s="223"/>
      <c r="CXL42" s="225"/>
      <c r="CXM42" s="220"/>
      <c r="CXN42" s="221"/>
      <c r="CXO42" s="222"/>
      <c r="CXP42" s="222"/>
      <c r="CXQ42" s="223"/>
      <c r="CXR42" s="223"/>
      <c r="CXS42" s="224"/>
      <c r="CXT42" s="223"/>
      <c r="CXU42" s="223"/>
      <c r="CXV42" s="223"/>
      <c r="CXW42" s="223"/>
      <c r="CXX42" s="225"/>
      <c r="CXY42" s="220"/>
      <c r="CXZ42" s="221"/>
      <c r="CYA42" s="222"/>
      <c r="CYB42" s="222"/>
      <c r="CYC42" s="223"/>
      <c r="CYD42" s="223"/>
      <c r="CYE42" s="224"/>
      <c r="CYF42" s="223"/>
      <c r="CYG42" s="223"/>
      <c r="CYH42" s="223"/>
      <c r="CYI42" s="223"/>
      <c r="CYJ42" s="225"/>
      <c r="CYK42" s="220"/>
      <c r="CYL42" s="221"/>
      <c r="CYM42" s="222"/>
      <c r="CYN42" s="222"/>
      <c r="CYO42" s="223"/>
      <c r="CYP42" s="223"/>
      <c r="CYQ42" s="224"/>
      <c r="CYR42" s="223"/>
      <c r="CYS42" s="223"/>
      <c r="CYT42" s="223"/>
      <c r="CYU42" s="223"/>
      <c r="CYV42" s="225"/>
      <c r="CYW42" s="220"/>
      <c r="CYX42" s="221"/>
      <c r="CYY42" s="222"/>
      <c r="CYZ42" s="222"/>
      <c r="CZA42" s="223"/>
      <c r="CZB42" s="223"/>
      <c r="CZC42" s="224"/>
      <c r="CZD42" s="223"/>
      <c r="CZE42" s="223"/>
      <c r="CZF42" s="223"/>
      <c r="CZG42" s="223"/>
      <c r="CZH42" s="225"/>
      <c r="CZI42" s="220"/>
      <c r="CZJ42" s="221"/>
      <c r="CZK42" s="222"/>
      <c r="CZL42" s="222"/>
      <c r="CZM42" s="223"/>
      <c r="CZN42" s="223"/>
      <c r="CZO42" s="224"/>
      <c r="CZP42" s="223"/>
      <c r="CZQ42" s="223"/>
      <c r="CZR42" s="223"/>
      <c r="CZS42" s="223"/>
      <c r="CZT42" s="225"/>
      <c r="CZU42" s="220"/>
      <c r="CZV42" s="221"/>
      <c r="CZW42" s="222"/>
      <c r="CZX42" s="222"/>
      <c r="CZY42" s="223"/>
      <c r="CZZ42" s="223"/>
      <c r="DAA42" s="224"/>
      <c r="DAB42" s="223"/>
      <c r="DAC42" s="223"/>
      <c r="DAD42" s="223"/>
      <c r="DAE42" s="223"/>
      <c r="DAF42" s="225"/>
      <c r="DAG42" s="220"/>
      <c r="DAH42" s="221"/>
      <c r="DAI42" s="222"/>
      <c r="DAJ42" s="222"/>
      <c r="DAK42" s="223"/>
      <c r="DAL42" s="223"/>
      <c r="DAM42" s="224"/>
      <c r="DAN42" s="223"/>
      <c r="DAO42" s="223"/>
      <c r="DAP42" s="223"/>
      <c r="DAQ42" s="223"/>
      <c r="DAR42" s="225"/>
      <c r="DAS42" s="220"/>
      <c r="DAT42" s="221"/>
      <c r="DAU42" s="222"/>
      <c r="DAV42" s="222"/>
      <c r="DAW42" s="223"/>
      <c r="DAX42" s="223"/>
      <c r="DAY42" s="224"/>
      <c r="DAZ42" s="223"/>
      <c r="DBA42" s="223"/>
      <c r="DBB42" s="223"/>
      <c r="DBC42" s="223"/>
      <c r="DBD42" s="225"/>
      <c r="DBE42" s="220"/>
      <c r="DBF42" s="221"/>
      <c r="DBG42" s="222"/>
      <c r="DBH42" s="222"/>
      <c r="DBI42" s="223"/>
      <c r="DBJ42" s="223"/>
      <c r="DBK42" s="224"/>
      <c r="DBL42" s="223"/>
      <c r="DBM42" s="223"/>
      <c r="DBN42" s="223"/>
      <c r="DBO42" s="223"/>
      <c r="DBP42" s="225"/>
      <c r="DBQ42" s="220"/>
      <c r="DBR42" s="221"/>
      <c r="DBS42" s="222"/>
      <c r="DBT42" s="222"/>
      <c r="DBU42" s="223"/>
      <c r="DBV42" s="223"/>
      <c r="DBW42" s="224"/>
      <c r="DBX42" s="223"/>
      <c r="DBY42" s="223"/>
      <c r="DBZ42" s="223"/>
      <c r="DCA42" s="223"/>
      <c r="DCB42" s="225"/>
      <c r="DCC42" s="220"/>
      <c r="DCD42" s="221"/>
      <c r="DCE42" s="222"/>
      <c r="DCF42" s="222"/>
      <c r="DCG42" s="223"/>
      <c r="DCH42" s="223"/>
      <c r="DCI42" s="224"/>
      <c r="DCJ42" s="223"/>
      <c r="DCK42" s="223"/>
      <c r="DCL42" s="223"/>
      <c r="DCM42" s="223"/>
      <c r="DCN42" s="225"/>
      <c r="DCO42" s="220"/>
      <c r="DCP42" s="221"/>
      <c r="DCQ42" s="222"/>
      <c r="DCR42" s="222"/>
      <c r="DCS42" s="223"/>
      <c r="DCT42" s="223"/>
      <c r="DCU42" s="224"/>
      <c r="DCV42" s="223"/>
      <c r="DCW42" s="223"/>
      <c r="DCX42" s="223"/>
      <c r="DCY42" s="223"/>
      <c r="DCZ42" s="225"/>
      <c r="DDA42" s="220"/>
      <c r="DDB42" s="221"/>
      <c r="DDC42" s="222"/>
      <c r="DDD42" s="222"/>
      <c r="DDE42" s="223"/>
      <c r="DDF42" s="223"/>
      <c r="DDG42" s="224"/>
      <c r="DDH42" s="223"/>
      <c r="DDI42" s="223"/>
      <c r="DDJ42" s="223"/>
      <c r="DDK42" s="223"/>
      <c r="DDL42" s="225"/>
      <c r="DDM42" s="220"/>
      <c r="DDN42" s="221"/>
      <c r="DDO42" s="222"/>
      <c r="DDP42" s="222"/>
      <c r="DDQ42" s="223"/>
      <c r="DDR42" s="223"/>
      <c r="DDS42" s="224"/>
      <c r="DDT42" s="223"/>
      <c r="DDU42" s="223"/>
      <c r="DDV42" s="223"/>
      <c r="DDW42" s="223"/>
      <c r="DDX42" s="225"/>
      <c r="DDY42" s="220"/>
      <c r="DDZ42" s="221"/>
      <c r="DEA42" s="222"/>
      <c r="DEB42" s="222"/>
      <c r="DEC42" s="223"/>
      <c r="DED42" s="223"/>
      <c r="DEE42" s="224"/>
      <c r="DEF42" s="223"/>
      <c r="DEG42" s="223"/>
      <c r="DEH42" s="223"/>
      <c r="DEI42" s="223"/>
      <c r="DEJ42" s="225"/>
      <c r="DEK42" s="220"/>
      <c r="DEL42" s="221"/>
      <c r="DEM42" s="222"/>
      <c r="DEN42" s="222"/>
      <c r="DEO42" s="223"/>
      <c r="DEP42" s="223"/>
      <c r="DEQ42" s="224"/>
      <c r="DER42" s="223"/>
      <c r="DES42" s="223"/>
      <c r="DET42" s="223"/>
      <c r="DEU42" s="223"/>
      <c r="DEV42" s="225"/>
      <c r="DEW42" s="220"/>
      <c r="DEX42" s="221"/>
      <c r="DEY42" s="222"/>
      <c r="DEZ42" s="222"/>
      <c r="DFA42" s="223"/>
      <c r="DFB42" s="223"/>
      <c r="DFC42" s="224"/>
      <c r="DFD42" s="223"/>
      <c r="DFE42" s="223"/>
      <c r="DFF42" s="223"/>
      <c r="DFG42" s="223"/>
      <c r="DFH42" s="225"/>
      <c r="DFI42" s="220"/>
      <c r="DFJ42" s="221"/>
      <c r="DFK42" s="222"/>
      <c r="DFL42" s="222"/>
      <c r="DFM42" s="223"/>
      <c r="DFN42" s="223"/>
      <c r="DFO42" s="224"/>
      <c r="DFP42" s="223"/>
      <c r="DFQ42" s="223"/>
      <c r="DFR42" s="223"/>
      <c r="DFS42" s="223"/>
      <c r="DFT42" s="225"/>
      <c r="DFU42" s="220"/>
      <c r="DFV42" s="221"/>
      <c r="DFW42" s="222"/>
      <c r="DFX42" s="222"/>
      <c r="DFY42" s="223"/>
      <c r="DFZ42" s="223"/>
      <c r="DGA42" s="224"/>
      <c r="DGB42" s="223"/>
      <c r="DGC42" s="223"/>
      <c r="DGD42" s="223"/>
      <c r="DGE42" s="223"/>
      <c r="DGF42" s="225"/>
      <c r="DGG42" s="220"/>
      <c r="DGH42" s="221"/>
      <c r="DGI42" s="222"/>
      <c r="DGJ42" s="222"/>
      <c r="DGK42" s="223"/>
      <c r="DGL42" s="223"/>
      <c r="DGM42" s="224"/>
      <c r="DGN42" s="223"/>
      <c r="DGO42" s="223"/>
      <c r="DGP42" s="223"/>
      <c r="DGQ42" s="223"/>
      <c r="DGR42" s="225"/>
      <c r="DGS42" s="220"/>
      <c r="DGT42" s="221"/>
      <c r="DGU42" s="222"/>
      <c r="DGV42" s="222"/>
      <c r="DGW42" s="223"/>
      <c r="DGX42" s="223"/>
      <c r="DGY42" s="224"/>
      <c r="DGZ42" s="223"/>
      <c r="DHA42" s="223"/>
      <c r="DHB42" s="223"/>
      <c r="DHC42" s="223"/>
      <c r="DHD42" s="225"/>
      <c r="DHE42" s="220"/>
      <c r="DHF42" s="221"/>
      <c r="DHG42" s="222"/>
      <c r="DHH42" s="222"/>
      <c r="DHI42" s="223"/>
      <c r="DHJ42" s="223"/>
      <c r="DHK42" s="224"/>
      <c r="DHL42" s="223"/>
      <c r="DHM42" s="223"/>
      <c r="DHN42" s="223"/>
      <c r="DHO42" s="223"/>
      <c r="DHP42" s="225"/>
      <c r="DHQ42" s="220"/>
      <c r="DHR42" s="221"/>
      <c r="DHS42" s="222"/>
      <c r="DHT42" s="222"/>
      <c r="DHU42" s="223"/>
      <c r="DHV42" s="223"/>
      <c r="DHW42" s="224"/>
      <c r="DHX42" s="223"/>
      <c r="DHY42" s="223"/>
      <c r="DHZ42" s="223"/>
      <c r="DIA42" s="223"/>
      <c r="DIB42" s="225"/>
      <c r="DIC42" s="220"/>
      <c r="DID42" s="221"/>
      <c r="DIE42" s="222"/>
      <c r="DIF42" s="222"/>
      <c r="DIG42" s="223"/>
      <c r="DIH42" s="223"/>
      <c r="DII42" s="224"/>
      <c r="DIJ42" s="223"/>
      <c r="DIK42" s="223"/>
      <c r="DIL42" s="223"/>
      <c r="DIM42" s="223"/>
      <c r="DIN42" s="225"/>
      <c r="DIO42" s="220"/>
      <c r="DIP42" s="221"/>
      <c r="DIQ42" s="222"/>
      <c r="DIR42" s="222"/>
      <c r="DIS42" s="223"/>
      <c r="DIT42" s="223"/>
      <c r="DIU42" s="224"/>
      <c r="DIV42" s="223"/>
      <c r="DIW42" s="223"/>
      <c r="DIX42" s="223"/>
      <c r="DIY42" s="223"/>
      <c r="DIZ42" s="225"/>
      <c r="DJA42" s="220"/>
      <c r="DJB42" s="221"/>
      <c r="DJC42" s="222"/>
      <c r="DJD42" s="222"/>
      <c r="DJE42" s="223"/>
      <c r="DJF42" s="223"/>
      <c r="DJG42" s="224"/>
      <c r="DJH42" s="223"/>
      <c r="DJI42" s="223"/>
      <c r="DJJ42" s="223"/>
      <c r="DJK42" s="223"/>
      <c r="DJL42" s="225"/>
      <c r="DJM42" s="220"/>
      <c r="DJN42" s="221"/>
      <c r="DJO42" s="222"/>
      <c r="DJP42" s="222"/>
      <c r="DJQ42" s="223"/>
      <c r="DJR42" s="223"/>
      <c r="DJS42" s="224"/>
      <c r="DJT42" s="223"/>
      <c r="DJU42" s="223"/>
      <c r="DJV42" s="223"/>
      <c r="DJW42" s="223"/>
      <c r="DJX42" s="225"/>
      <c r="DJY42" s="220"/>
      <c r="DJZ42" s="221"/>
      <c r="DKA42" s="222"/>
      <c r="DKB42" s="222"/>
      <c r="DKC42" s="223"/>
      <c r="DKD42" s="223"/>
      <c r="DKE42" s="224"/>
      <c r="DKF42" s="223"/>
      <c r="DKG42" s="223"/>
      <c r="DKH42" s="223"/>
      <c r="DKI42" s="223"/>
      <c r="DKJ42" s="225"/>
      <c r="DKK42" s="220"/>
      <c r="DKL42" s="221"/>
      <c r="DKM42" s="222"/>
      <c r="DKN42" s="222"/>
      <c r="DKO42" s="223"/>
      <c r="DKP42" s="223"/>
      <c r="DKQ42" s="224"/>
      <c r="DKR42" s="223"/>
      <c r="DKS42" s="223"/>
      <c r="DKT42" s="223"/>
      <c r="DKU42" s="223"/>
      <c r="DKV42" s="225"/>
      <c r="DKW42" s="220"/>
      <c r="DKX42" s="221"/>
      <c r="DKY42" s="222"/>
      <c r="DKZ42" s="222"/>
      <c r="DLA42" s="223"/>
      <c r="DLB42" s="223"/>
      <c r="DLC42" s="224"/>
      <c r="DLD42" s="223"/>
      <c r="DLE42" s="223"/>
      <c r="DLF42" s="223"/>
      <c r="DLG42" s="223"/>
      <c r="DLH42" s="225"/>
      <c r="DLI42" s="220"/>
      <c r="DLJ42" s="221"/>
      <c r="DLK42" s="222"/>
      <c r="DLL42" s="222"/>
      <c r="DLM42" s="223"/>
      <c r="DLN42" s="223"/>
      <c r="DLO42" s="224"/>
      <c r="DLP42" s="223"/>
      <c r="DLQ42" s="223"/>
      <c r="DLR42" s="223"/>
      <c r="DLS42" s="223"/>
      <c r="DLT42" s="225"/>
      <c r="DLU42" s="220"/>
      <c r="DLV42" s="221"/>
      <c r="DLW42" s="222"/>
      <c r="DLX42" s="222"/>
      <c r="DLY42" s="223"/>
      <c r="DLZ42" s="223"/>
      <c r="DMA42" s="224"/>
      <c r="DMB42" s="223"/>
      <c r="DMC42" s="223"/>
      <c r="DMD42" s="223"/>
      <c r="DME42" s="223"/>
      <c r="DMF42" s="225"/>
      <c r="DMG42" s="220"/>
      <c r="DMH42" s="221"/>
      <c r="DMI42" s="222"/>
      <c r="DMJ42" s="222"/>
      <c r="DMK42" s="223"/>
      <c r="DML42" s="223"/>
      <c r="DMM42" s="224"/>
      <c r="DMN42" s="223"/>
      <c r="DMO42" s="223"/>
      <c r="DMP42" s="223"/>
      <c r="DMQ42" s="223"/>
      <c r="DMR42" s="225"/>
      <c r="DMS42" s="220"/>
      <c r="DMT42" s="221"/>
      <c r="DMU42" s="222"/>
      <c r="DMV42" s="222"/>
      <c r="DMW42" s="223"/>
      <c r="DMX42" s="223"/>
      <c r="DMY42" s="224"/>
      <c r="DMZ42" s="223"/>
      <c r="DNA42" s="223"/>
      <c r="DNB42" s="223"/>
      <c r="DNC42" s="223"/>
      <c r="DND42" s="225"/>
      <c r="DNE42" s="220"/>
      <c r="DNF42" s="221"/>
      <c r="DNG42" s="222"/>
      <c r="DNH42" s="222"/>
      <c r="DNI42" s="223"/>
      <c r="DNJ42" s="223"/>
      <c r="DNK42" s="224"/>
      <c r="DNL42" s="223"/>
      <c r="DNM42" s="223"/>
      <c r="DNN42" s="223"/>
      <c r="DNO42" s="223"/>
      <c r="DNP42" s="225"/>
      <c r="DNQ42" s="220"/>
      <c r="DNR42" s="221"/>
      <c r="DNS42" s="222"/>
      <c r="DNT42" s="222"/>
      <c r="DNU42" s="223"/>
      <c r="DNV42" s="223"/>
      <c r="DNW42" s="224"/>
      <c r="DNX42" s="223"/>
      <c r="DNY42" s="223"/>
      <c r="DNZ42" s="223"/>
      <c r="DOA42" s="223"/>
      <c r="DOB42" s="225"/>
      <c r="DOC42" s="220"/>
      <c r="DOD42" s="221"/>
      <c r="DOE42" s="222"/>
      <c r="DOF42" s="222"/>
      <c r="DOG42" s="223"/>
      <c r="DOH42" s="223"/>
      <c r="DOI42" s="224"/>
      <c r="DOJ42" s="223"/>
      <c r="DOK42" s="223"/>
      <c r="DOL42" s="223"/>
      <c r="DOM42" s="223"/>
      <c r="DON42" s="225"/>
      <c r="DOO42" s="220"/>
      <c r="DOP42" s="221"/>
      <c r="DOQ42" s="222"/>
      <c r="DOR42" s="222"/>
      <c r="DOS42" s="223"/>
      <c r="DOT42" s="223"/>
      <c r="DOU42" s="224"/>
      <c r="DOV42" s="223"/>
      <c r="DOW42" s="223"/>
      <c r="DOX42" s="223"/>
      <c r="DOY42" s="223"/>
      <c r="DOZ42" s="225"/>
      <c r="DPA42" s="220"/>
      <c r="DPB42" s="221"/>
      <c r="DPC42" s="222"/>
      <c r="DPD42" s="222"/>
      <c r="DPE42" s="223"/>
      <c r="DPF42" s="223"/>
      <c r="DPG42" s="224"/>
      <c r="DPH42" s="223"/>
      <c r="DPI42" s="223"/>
      <c r="DPJ42" s="223"/>
      <c r="DPK42" s="223"/>
      <c r="DPL42" s="225"/>
      <c r="DPM42" s="220"/>
      <c r="DPN42" s="221"/>
      <c r="DPO42" s="222"/>
      <c r="DPP42" s="222"/>
      <c r="DPQ42" s="223"/>
      <c r="DPR42" s="223"/>
      <c r="DPS42" s="224"/>
      <c r="DPT42" s="223"/>
      <c r="DPU42" s="223"/>
      <c r="DPV42" s="223"/>
      <c r="DPW42" s="223"/>
      <c r="DPX42" s="225"/>
      <c r="DPY42" s="220"/>
      <c r="DPZ42" s="221"/>
      <c r="DQA42" s="222"/>
      <c r="DQB42" s="222"/>
      <c r="DQC42" s="223"/>
      <c r="DQD42" s="223"/>
      <c r="DQE42" s="224"/>
      <c r="DQF42" s="223"/>
      <c r="DQG42" s="223"/>
      <c r="DQH42" s="223"/>
      <c r="DQI42" s="223"/>
      <c r="DQJ42" s="225"/>
      <c r="DQK42" s="220"/>
      <c r="DQL42" s="221"/>
      <c r="DQM42" s="222"/>
      <c r="DQN42" s="222"/>
      <c r="DQO42" s="223"/>
      <c r="DQP42" s="223"/>
      <c r="DQQ42" s="224"/>
      <c r="DQR42" s="223"/>
      <c r="DQS42" s="223"/>
      <c r="DQT42" s="223"/>
      <c r="DQU42" s="223"/>
      <c r="DQV42" s="225"/>
      <c r="DQW42" s="220"/>
      <c r="DQX42" s="221"/>
      <c r="DQY42" s="222"/>
      <c r="DQZ42" s="222"/>
      <c r="DRA42" s="223"/>
      <c r="DRB42" s="223"/>
      <c r="DRC42" s="224"/>
      <c r="DRD42" s="223"/>
      <c r="DRE42" s="223"/>
      <c r="DRF42" s="223"/>
      <c r="DRG42" s="223"/>
      <c r="DRH42" s="225"/>
      <c r="DRI42" s="220"/>
      <c r="DRJ42" s="221"/>
      <c r="DRK42" s="222"/>
      <c r="DRL42" s="222"/>
      <c r="DRM42" s="223"/>
      <c r="DRN42" s="223"/>
      <c r="DRO42" s="224"/>
      <c r="DRP42" s="223"/>
      <c r="DRQ42" s="223"/>
      <c r="DRR42" s="223"/>
      <c r="DRS42" s="223"/>
      <c r="DRT42" s="225"/>
      <c r="DRU42" s="220"/>
      <c r="DRV42" s="221"/>
      <c r="DRW42" s="222"/>
      <c r="DRX42" s="222"/>
      <c r="DRY42" s="223"/>
      <c r="DRZ42" s="223"/>
      <c r="DSA42" s="224"/>
      <c r="DSB42" s="223"/>
      <c r="DSC42" s="223"/>
      <c r="DSD42" s="223"/>
      <c r="DSE42" s="223"/>
      <c r="DSF42" s="225"/>
      <c r="DSG42" s="220"/>
      <c r="DSH42" s="221"/>
      <c r="DSI42" s="222"/>
      <c r="DSJ42" s="222"/>
      <c r="DSK42" s="223"/>
      <c r="DSL42" s="223"/>
      <c r="DSM42" s="224"/>
      <c r="DSN42" s="223"/>
      <c r="DSO42" s="223"/>
      <c r="DSP42" s="223"/>
      <c r="DSQ42" s="223"/>
      <c r="DSR42" s="225"/>
      <c r="DSS42" s="220"/>
      <c r="DST42" s="221"/>
      <c r="DSU42" s="222"/>
      <c r="DSV42" s="222"/>
      <c r="DSW42" s="223"/>
      <c r="DSX42" s="223"/>
      <c r="DSY42" s="224"/>
      <c r="DSZ42" s="223"/>
      <c r="DTA42" s="223"/>
      <c r="DTB42" s="223"/>
      <c r="DTC42" s="223"/>
      <c r="DTD42" s="225"/>
      <c r="DTE42" s="220"/>
      <c r="DTF42" s="221"/>
      <c r="DTG42" s="222"/>
      <c r="DTH42" s="222"/>
      <c r="DTI42" s="223"/>
      <c r="DTJ42" s="223"/>
      <c r="DTK42" s="224"/>
      <c r="DTL42" s="223"/>
      <c r="DTM42" s="223"/>
      <c r="DTN42" s="223"/>
      <c r="DTO42" s="223"/>
      <c r="DTP42" s="225"/>
      <c r="DTQ42" s="220"/>
      <c r="DTR42" s="221"/>
      <c r="DTS42" s="222"/>
      <c r="DTT42" s="222"/>
      <c r="DTU42" s="223"/>
      <c r="DTV42" s="223"/>
      <c r="DTW42" s="224"/>
      <c r="DTX42" s="223"/>
      <c r="DTY42" s="223"/>
      <c r="DTZ42" s="223"/>
      <c r="DUA42" s="223"/>
      <c r="DUB42" s="225"/>
      <c r="DUC42" s="220"/>
      <c r="DUD42" s="221"/>
      <c r="DUE42" s="222"/>
      <c r="DUF42" s="222"/>
      <c r="DUG42" s="223"/>
      <c r="DUH42" s="223"/>
      <c r="DUI42" s="224"/>
      <c r="DUJ42" s="223"/>
      <c r="DUK42" s="223"/>
      <c r="DUL42" s="223"/>
      <c r="DUM42" s="223"/>
      <c r="DUN42" s="225"/>
      <c r="DUO42" s="220"/>
      <c r="DUP42" s="221"/>
      <c r="DUQ42" s="222"/>
      <c r="DUR42" s="222"/>
      <c r="DUS42" s="223"/>
      <c r="DUT42" s="223"/>
      <c r="DUU42" s="224"/>
      <c r="DUV42" s="223"/>
      <c r="DUW42" s="223"/>
      <c r="DUX42" s="223"/>
      <c r="DUY42" s="223"/>
      <c r="DUZ42" s="225"/>
      <c r="DVA42" s="220"/>
      <c r="DVB42" s="221"/>
      <c r="DVC42" s="222"/>
      <c r="DVD42" s="222"/>
      <c r="DVE42" s="223"/>
      <c r="DVF42" s="223"/>
      <c r="DVG42" s="224"/>
      <c r="DVH42" s="223"/>
      <c r="DVI42" s="223"/>
      <c r="DVJ42" s="223"/>
      <c r="DVK42" s="223"/>
      <c r="DVL42" s="225"/>
      <c r="DVM42" s="220"/>
      <c r="DVN42" s="221"/>
      <c r="DVO42" s="222"/>
      <c r="DVP42" s="222"/>
      <c r="DVQ42" s="223"/>
      <c r="DVR42" s="223"/>
      <c r="DVS42" s="224"/>
      <c r="DVT42" s="223"/>
      <c r="DVU42" s="223"/>
      <c r="DVV42" s="223"/>
      <c r="DVW42" s="223"/>
      <c r="DVX42" s="225"/>
      <c r="DVY42" s="220"/>
      <c r="DVZ42" s="221"/>
      <c r="DWA42" s="222"/>
      <c r="DWB42" s="222"/>
      <c r="DWC42" s="223"/>
      <c r="DWD42" s="223"/>
      <c r="DWE42" s="224"/>
      <c r="DWF42" s="223"/>
      <c r="DWG42" s="223"/>
      <c r="DWH42" s="223"/>
      <c r="DWI42" s="223"/>
      <c r="DWJ42" s="225"/>
      <c r="DWK42" s="220"/>
      <c r="DWL42" s="221"/>
      <c r="DWM42" s="222"/>
      <c r="DWN42" s="222"/>
      <c r="DWO42" s="223"/>
      <c r="DWP42" s="223"/>
      <c r="DWQ42" s="224"/>
      <c r="DWR42" s="223"/>
      <c r="DWS42" s="223"/>
      <c r="DWT42" s="223"/>
      <c r="DWU42" s="223"/>
      <c r="DWV42" s="225"/>
      <c r="DWW42" s="220"/>
      <c r="DWX42" s="221"/>
      <c r="DWY42" s="222"/>
      <c r="DWZ42" s="222"/>
      <c r="DXA42" s="223"/>
      <c r="DXB42" s="223"/>
      <c r="DXC42" s="224"/>
      <c r="DXD42" s="223"/>
      <c r="DXE42" s="223"/>
      <c r="DXF42" s="223"/>
      <c r="DXG42" s="223"/>
      <c r="DXH42" s="225"/>
      <c r="DXI42" s="220"/>
      <c r="DXJ42" s="221"/>
      <c r="DXK42" s="222"/>
      <c r="DXL42" s="222"/>
      <c r="DXM42" s="223"/>
      <c r="DXN42" s="223"/>
      <c r="DXO42" s="224"/>
      <c r="DXP42" s="223"/>
      <c r="DXQ42" s="223"/>
      <c r="DXR42" s="223"/>
      <c r="DXS42" s="223"/>
      <c r="DXT42" s="225"/>
      <c r="DXU42" s="220"/>
      <c r="DXV42" s="221"/>
      <c r="DXW42" s="222"/>
      <c r="DXX42" s="222"/>
      <c r="DXY42" s="223"/>
      <c r="DXZ42" s="223"/>
      <c r="DYA42" s="224"/>
      <c r="DYB42" s="223"/>
      <c r="DYC42" s="223"/>
      <c r="DYD42" s="223"/>
      <c r="DYE42" s="223"/>
      <c r="DYF42" s="225"/>
      <c r="DYG42" s="220"/>
      <c r="DYH42" s="221"/>
      <c r="DYI42" s="222"/>
      <c r="DYJ42" s="222"/>
      <c r="DYK42" s="223"/>
      <c r="DYL42" s="223"/>
      <c r="DYM42" s="224"/>
      <c r="DYN42" s="223"/>
      <c r="DYO42" s="223"/>
      <c r="DYP42" s="223"/>
      <c r="DYQ42" s="223"/>
      <c r="DYR42" s="225"/>
      <c r="DYS42" s="220"/>
      <c r="DYT42" s="221"/>
      <c r="DYU42" s="222"/>
      <c r="DYV42" s="222"/>
      <c r="DYW42" s="223"/>
      <c r="DYX42" s="223"/>
      <c r="DYY42" s="224"/>
      <c r="DYZ42" s="223"/>
      <c r="DZA42" s="223"/>
      <c r="DZB42" s="223"/>
      <c r="DZC42" s="223"/>
      <c r="DZD42" s="225"/>
      <c r="DZE42" s="220"/>
      <c r="DZF42" s="221"/>
      <c r="DZG42" s="222"/>
      <c r="DZH42" s="222"/>
      <c r="DZI42" s="223"/>
      <c r="DZJ42" s="223"/>
      <c r="DZK42" s="224"/>
      <c r="DZL42" s="223"/>
      <c r="DZM42" s="223"/>
      <c r="DZN42" s="223"/>
      <c r="DZO42" s="223"/>
      <c r="DZP42" s="225"/>
      <c r="DZQ42" s="220"/>
      <c r="DZR42" s="221"/>
      <c r="DZS42" s="222"/>
      <c r="DZT42" s="222"/>
      <c r="DZU42" s="223"/>
      <c r="DZV42" s="223"/>
      <c r="DZW42" s="224"/>
      <c r="DZX42" s="223"/>
      <c r="DZY42" s="223"/>
      <c r="DZZ42" s="223"/>
      <c r="EAA42" s="223"/>
      <c r="EAB42" s="225"/>
      <c r="EAC42" s="220"/>
      <c r="EAD42" s="221"/>
      <c r="EAE42" s="222"/>
      <c r="EAF42" s="222"/>
      <c r="EAG42" s="223"/>
      <c r="EAH42" s="223"/>
      <c r="EAI42" s="224"/>
      <c r="EAJ42" s="223"/>
      <c r="EAK42" s="223"/>
      <c r="EAL42" s="223"/>
      <c r="EAM42" s="223"/>
      <c r="EAN42" s="225"/>
      <c r="EAO42" s="220"/>
      <c r="EAP42" s="221"/>
      <c r="EAQ42" s="222"/>
      <c r="EAR42" s="222"/>
      <c r="EAS42" s="223"/>
      <c r="EAT42" s="223"/>
      <c r="EAU42" s="224"/>
      <c r="EAV42" s="223"/>
      <c r="EAW42" s="223"/>
      <c r="EAX42" s="223"/>
      <c r="EAY42" s="223"/>
      <c r="EAZ42" s="225"/>
      <c r="EBA42" s="220"/>
      <c r="EBB42" s="221"/>
      <c r="EBC42" s="222"/>
      <c r="EBD42" s="222"/>
      <c r="EBE42" s="223"/>
      <c r="EBF42" s="223"/>
      <c r="EBG42" s="224"/>
      <c r="EBH42" s="223"/>
      <c r="EBI42" s="223"/>
      <c r="EBJ42" s="223"/>
      <c r="EBK42" s="223"/>
      <c r="EBL42" s="225"/>
      <c r="EBM42" s="220"/>
      <c r="EBN42" s="221"/>
      <c r="EBO42" s="222"/>
      <c r="EBP42" s="222"/>
      <c r="EBQ42" s="223"/>
      <c r="EBR42" s="223"/>
      <c r="EBS42" s="224"/>
      <c r="EBT42" s="223"/>
      <c r="EBU42" s="223"/>
      <c r="EBV42" s="223"/>
      <c r="EBW42" s="223"/>
      <c r="EBX42" s="225"/>
      <c r="EBY42" s="220"/>
      <c r="EBZ42" s="221"/>
      <c r="ECA42" s="222"/>
      <c r="ECB42" s="222"/>
      <c r="ECC42" s="223"/>
      <c r="ECD42" s="223"/>
      <c r="ECE42" s="224"/>
      <c r="ECF42" s="223"/>
      <c r="ECG42" s="223"/>
      <c r="ECH42" s="223"/>
      <c r="ECI42" s="223"/>
      <c r="ECJ42" s="225"/>
      <c r="ECK42" s="220"/>
      <c r="ECL42" s="221"/>
      <c r="ECM42" s="222"/>
      <c r="ECN42" s="222"/>
      <c r="ECO42" s="223"/>
      <c r="ECP42" s="223"/>
      <c r="ECQ42" s="224"/>
      <c r="ECR42" s="223"/>
      <c r="ECS42" s="223"/>
      <c r="ECT42" s="223"/>
      <c r="ECU42" s="223"/>
      <c r="ECV42" s="225"/>
      <c r="ECW42" s="220"/>
      <c r="ECX42" s="221"/>
      <c r="ECY42" s="222"/>
      <c r="ECZ42" s="222"/>
      <c r="EDA42" s="223"/>
      <c r="EDB42" s="223"/>
      <c r="EDC42" s="224"/>
      <c r="EDD42" s="223"/>
      <c r="EDE42" s="223"/>
      <c r="EDF42" s="223"/>
      <c r="EDG42" s="223"/>
      <c r="EDH42" s="225"/>
      <c r="EDI42" s="220"/>
      <c r="EDJ42" s="221"/>
      <c r="EDK42" s="222"/>
      <c r="EDL42" s="222"/>
      <c r="EDM42" s="223"/>
      <c r="EDN42" s="223"/>
      <c r="EDO42" s="224"/>
      <c r="EDP42" s="223"/>
      <c r="EDQ42" s="223"/>
      <c r="EDR42" s="223"/>
      <c r="EDS42" s="223"/>
      <c r="EDT42" s="225"/>
      <c r="EDU42" s="220"/>
      <c r="EDV42" s="221"/>
      <c r="EDW42" s="222"/>
      <c r="EDX42" s="222"/>
      <c r="EDY42" s="223"/>
      <c r="EDZ42" s="223"/>
      <c r="EEA42" s="224"/>
      <c r="EEB42" s="223"/>
      <c r="EEC42" s="223"/>
      <c r="EED42" s="223"/>
      <c r="EEE42" s="223"/>
      <c r="EEF42" s="225"/>
      <c r="EEG42" s="220"/>
      <c r="EEH42" s="221"/>
      <c r="EEI42" s="222"/>
      <c r="EEJ42" s="222"/>
      <c r="EEK42" s="223"/>
      <c r="EEL42" s="223"/>
      <c r="EEM42" s="224"/>
      <c r="EEN42" s="223"/>
      <c r="EEO42" s="223"/>
      <c r="EEP42" s="223"/>
      <c r="EEQ42" s="223"/>
      <c r="EER42" s="225"/>
      <c r="EES42" s="220"/>
      <c r="EET42" s="221"/>
      <c r="EEU42" s="222"/>
      <c r="EEV42" s="222"/>
      <c r="EEW42" s="223"/>
      <c r="EEX42" s="223"/>
      <c r="EEY42" s="224"/>
      <c r="EEZ42" s="223"/>
      <c r="EFA42" s="223"/>
      <c r="EFB42" s="223"/>
      <c r="EFC42" s="223"/>
      <c r="EFD42" s="225"/>
      <c r="EFE42" s="220"/>
      <c r="EFF42" s="221"/>
      <c r="EFG42" s="222"/>
      <c r="EFH42" s="222"/>
      <c r="EFI42" s="223"/>
      <c r="EFJ42" s="223"/>
      <c r="EFK42" s="224"/>
      <c r="EFL42" s="223"/>
      <c r="EFM42" s="223"/>
      <c r="EFN42" s="223"/>
      <c r="EFO42" s="223"/>
      <c r="EFP42" s="225"/>
      <c r="EFQ42" s="220"/>
      <c r="EFR42" s="221"/>
      <c r="EFS42" s="222"/>
      <c r="EFT42" s="222"/>
      <c r="EFU42" s="223"/>
      <c r="EFV42" s="223"/>
      <c r="EFW42" s="224"/>
      <c r="EFX42" s="223"/>
      <c r="EFY42" s="223"/>
      <c r="EFZ42" s="223"/>
      <c r="EGA42" s="223"/>
      <c r="EGB42" s="225"/>
      <c r="EGC42" s="220"/>
      <c r="EGD42" s="221"/>
      <c r="EGE42" s="222"/>
      <c r="EGF42" s="222"/>
      <c r="EGG42" s="223"/>
      <c r="EGH42" s="223"/>
      <c r="EGI42" s="224"/>
      <c r="EGJ42" s="223"/>
      <c r="EGK42" s="223"/>
      <c r="EGL42" s="223"/>
      <c r="EGM42" s="223"/>
      <c r="EGN42" s="225"/>
      <c r="EGO42" s="220"/>
      <c r="EGP42" s="221"/>
      <c r="EGQ42" s="222"/>
      <c r="EGR42" s="222"/>
      <c r="EGS42" s="223"/>
      <c r="EGT42" s="223"/>
      <c r="EGU42" s="224"/>
      <c r="EGV42" s="223"/>
      <c r="EGW42" s="223"/>
      <c r="EGX42" s="223"/>
      <c r="EGY42" s="223"/>
      <c r="EGZ42" s="225"/>
      <c r="EHA42" s="220"/>
      <c r="EHB42" s="221"/>
      <c r="EHC42" s="222"/>
      <c r="EHD42" s="222"/>
      <c r="EHE42" s="223"/>
      <c r="EHF42" s="223"/>
      <c r="EHG42" s="224"/>
      <c r="EHH42" s="223"/>
      <c r="EHI42" s="223"/>
      <c r="EHJ42" s="223"/>
      <c r="EHK42" s="223"/>
      <c r="EHL42" s="225"/>
      <c r="EHM42" s="220"/>
      <c r="EHN42" s="221"/>
      <c r="EHO42" s="222"/>
      <c r="EHP42" s="222"/>
      <c r="EHQ42" s="223"/>
      <c r="EHR42" s="223"/>
      <c r="EHS42" s="224"/>
      <c r="EHT42" s="223"/>
      <c r="EHU42" s="223"/>
      <c r="EHV42" s="223"/>
      <c r="EHW42" s="223"/>
      <c r="EHX42" s="225"/>
      <c r="EHY42" s="220"/>
      <c r="EHZ42" s="221"/>
      <c r="EIA42" s="222"/>
      <c r="EIB42" s="222"/>
      <c r="EIC42" s="223"/>
      <c r="EID42" s="223"/>
      <c r="EIE42" s="224"/>
      <c r="EIF42" s="223"/>
      <c r="EIG42" s="223"/>
      <c r="EIH42" s="223"/>
      <c r="EII42" s="223"/>
      <c r="EIJ42" s="225"/>
      <c r="EIK42" s="220"/>
      <c r="EIL42" s="221"/>
      <c r="EIM42" s="222"/>
      <c r="EIN42" s="222"/>
      <c r="EIO42" s="223"/>
      <c r="EIP42" s="223"/>
      <c r="EIQ42" s="224"/>
      <c r="EIR42" s="223"/>
      <c r="EIS42" s="223"/>
      <c r="EIT42" s="223"/>
      <c r="EIU42" s="223"/>
      <c r="EIV42" s="225"/>
      <c r="EIW42" s="220"/>
      <c r="EIX42" s="221"/>
      <c r="EIY42" s="222"/>
      <c r="EIZ42" s="222"/>
      <c r="EJA42" s="223"/>
      <c r="EJB42" s="223"/>
      <c r="EJC42" s="224"/>
      <c r="EJD42" s="223"/>
      <c r="EJE42" s="223"/>
      <c r="EJF42" s="223"/>
      <c r="EJG42" s="223"/>
      <c r="EJH42" s="225"/>
      <c r="EJI42" s="220"/>
      <c r="EJJ42" s="221"/>
      <c r="EJK42" s="222"/>
      <c r="EJL42" s="222"/>
      <c r="EJM42" s="223"/>
      <c r="EJN42" s="223"/>
      <c r="EJO42" s="224"/>
      <c r="EJP42" s="223"/>
      <c r="EJQ42" s="223"/>
      <c r="EJR42" s="223"/>
      <c r="EJS42" s="223"/>
      <c r="EJT42" s="225"/>
      <c r="EJU42" s="220"/>
      <c r="EJV42" s="221"/>
      <c r="EJW42" s="222"/>
      <c r="EJX42" s="222"/>
      <c r="EJY42" s="223"/>
      <c r="EJZ42" s="223"/>
      <c r="EKA42" s="224"/>
      <c r="EKB42" s="223"/>
      <c r="EKC42" s="223"/>
      <c r="EKD42" s="223"/>
      <c r="EKE42" s="223"/>
      <c r="EKF42" s="225"/>
      <c r="EKG42" s="220"/>
      <c r="EKH42" s="221"/>
      <c r="EKI42" s="222"/>
      <c r="EKJ42" s="222"/>
      <c r="EKK42" s="223"/>
      <c r="EKL42" s="223"/>
      <c r="EKM42" s="224"/>
      <c r="EKN42" s="223"/>
      <c r="EKO42" s="223"/>
      <c r="EKP42" s="223"/>
      <c r="EKQ42" s="223"/>
      <c r="EKR42" s="225"/>
      <c r="EKS42" s="220"/>
      <c r="EKT42" s="221"/>
      <c r="EKU42" s="222"/>
      <c r="EKV42" s="222"/>
      <c r="EKW42" s="223"/>
      <c r="EKX42" s="223"/>
      <c r="EKY42" s="224"/>
      <c r="EKZ42" s="223"/>
      <c r="ELA42" s="223"/>
      <c r="ELB42" s="223"/>
      <c r="ELC42" s="223"/>
      <c r="ELD42" s="225"/>
      <c r="ELE42" s="220"/>
      <c r="ELF42" s="221"/>
      <c r="ELG42" s="222"/>
      <c r="ELH42" s="222"/>
      <c r="ELI42" s="223"/>
      <c r="ELJ42" s="223"/>
      <c r="ELK42" s="224"/>
      <c r="ELL42" s="223"/>
      <c r="ELM42" s="223"/>
      <c r="ELN42" s="223"/>
      <c r="ELO42" s="223"/>
      <c r="ELP42" s="225"/>
      <c r="ELQ42" s="220"/>
      <c r="ELR42" s="221"/>
      <c r="ELS42" s="222"/>
      <c r="ELT42" s="222"/>
      <c r="ELU42" s="223"/>
      <c r="ELV42" s="223"/>
      <c r="ELW42" s="224"/>
      <c r="ELX42" s="223"/>
      <c r="ELY42" s="223"/>
      <c r="ELZ42" s="223"/>
      <c r="EMA42" s="223"/>
      <c r="EMB42" s="225"/>
      <c r="EMC42" s="220"/>
      <c r="EMD42" s="221"/>
      <c r="EME42" s="222"/>
      <c r="EMF42" s="222"/>
      <c r="EMG42" s="223"/>
      <c r="EMH42" s="223"/>
      <c r="EMI42" s="224"/>
      <c r="EMJ42" s="223"/>
      <c r="EMK42" s="223"/>
      <c r="EML42" s="223"/>
      <c r="EMM42" s="223"/>
      <c r="EMN42" s="225"/>
      <c r="EMO42" s="220"/>
      <c r="EMP42" s="221"/>
      <c r="EMQ42" s="222"/>
      <c r="EMR42" s="222"/>
      <c r="EMS42" s="223"/>
      <c r="EMT42" s="223"/>
      <c r="EMU42" s="224"/>
      <c r="EMV42" s="223"/>
      <c r="EMW42" s="223"/>
      <c r="EMX42" s="223"/>
      <c r="EMY42" s="223"/>
      <c r="EMZ42" s="225"/>
      <c r="ENA42" s="220"/>
      <c r="ENB42" s="221"/>
      <c r="ENC42" s="222"/>
      <c r="END42" s="222"/>
      <c r="ENE42" s="223"/>
      <c r="ENF42" s="223"/>
      <c r="ENG42" s="224"/>
      <c r="ENH42" s="223"/>
      <c r="ENI42" s="223"/>
      <c r="ENJ42" s="223"/>
      <c r="ENK42" s="223"/>
      <c r="ENL42" s="225"/>
      <c r="ENM42" s="220"/>
      <c r="ENN42" s="221"/>
      <c r="ENO42" s="222"/>
      <c r="ENP42" s="222"/>
      <c r="ENQ42" s="223"/>
      <c r="ENR42" s="223"/>
      <c r="ENS42" s="224"/>
      <c r="ENT42" s="223"/>
      <c r="ENU42" s="223"/>
      <c r="ENV42" s="223"/>
      <c r="ENW42" s="223"/>
      <c r="ENX42" s="225"/>
      <c r="ENY42" s="220"/>
      <c r="ENZ42" s="221"/>
      <c r="EOA42" s="222"/>
      <c r="EOB42" s="222"/>
      <c r="EOC42" s="223"/>
      <c r="EOD42" s="223"/>
      <c r="EOE42" s="224"/>
      <c r="EOF42" s="223"/>
      <c r="EOG42" s="223"/>
      <c r="EOH42" s="223"/>
      <c r="EOI42" s="223"/>
      <c r="EOJ42" s="225"/>
      <c r="EOK42" s="220"/>
      <c r="EOL42" s="221"/>
      <c r="EOM42" s="222"/>
      <c r="EON42" s="222"/>
      <c r="EOO42" s="223"/>
      <c r="EOP42" s="223"/>
      <c r="EOQ42" s="224"/>
      <c r="EOR42" s="223"/>
      <c r="EOS42" s="223"/>
      <c r="EOT42" s="223"/>
      <c r="EOU42" s="223"/>
      <c r="EOV42" s="225"/>
      <c r="EOW42" s="220"/>
      <c r="EOX42" s="221"/>
      <c r="EOY42" s="222"/>
      <c r="EOZ42" s="222"/>
      <c r="EPA42" s="223"/>
      <c r="EPB42" s="223"/>
      <c r="EPC42" s="224"/>
      <c r="EPD42" s="223"/>
      <c r="EPE42" s="223"/>
      <c r="EPF42" s="223"/>
      <c r="EPG42" s="223"/>
      <c r="EPH42" s="225"/>
      <c r="EPI42" s="220"/>
      <c r="EPJ42" s="221"/>
      <c r="EPK42" s="222"/>
      <c r="EPL42" s="222"/>
      <c r="EPM42" s="223"/>
      <c r="EPN42" s="223"/>
      <c r="EPO42" s="224"/>
      <c r="EPP42" s="223"/>
      <c r="EPQ42" s="223"/>
      <c r="EPR42" s="223"/>
      <c r="EPS42" s="223"/>
      <c r="EPT42" s="225"/>
      <c r="EPU42" s="220"/>
      <c r="EPV42" s="221"/>
      <c r="EPW42" s="222"/>
      <c r="EPX42" s="222"/>
      <c r="EPY42" s="223"/>
      <c r="EPZ42" s="223"/>
      <c r="EQA42" s="224"/>
      <c r="EQB42" s="223"/>
      <c r="EQC42" s="223"/>
      <c r="EQD42" s="223"/>
      <c r="EQE42" s="223"/>
      <c r="EQF42" s="225"/>
      <c r="EQG42" s="220"/>
      <c r="EQH42" s="221"/>
      <c r="EQI42" s="222"/>
      <c r="EQJ42" s="222"/>
      <c r="EQK42" s="223"/>
      <c r="EQL42" s="223"/>
      <c r="EQM42" s="224"/>
      <c r="EQN42" s="223"/>
      <c r="EQO42" s="223"/>
      <c r="EQP42" s="223"/>
      <c r="EQQ42" s="223"/>
      <c r="EQR42" s="225"/>
      <c r="EQS42" s="220"/>
      <c r="EQT42" s="221"/>
      <c r="EQU42" s="222"/>
      <c r="EQV42" s="222"/>
      <c r="EQW42" s="223"/>
      <c r="EQX42" s="223"/>
      <c r="EQY42" s="224"/>
      <c r="EQZ42" s="223"/>
      <c r="ERA42" s="223"/>
      <c r="ERB42" s="223"/>
      <c r="ERC42" s="223"/>
      <c r="ERD42" s="225"/>
      <c r="ERE42" s="220"/>
      <c r="ERF42" s="221"/>
      <c r="ERG42" s="222"/>
      <c r="ERH42" s="222"/>
      <c r="ERI42" s="223"/>
      <c r="ERJ42" s="223"/>
      <c r="ERK42" s="224"/>
      <c r="ERL42" s="223"/>
      <c r="ERM42" s="223"/>
      <c r="ERN42" s="223"/>
      <c r="ERO42" s="223"/>
      <c r="ERP42" s="225"/>
      <c r="ERQ42" s="220"/>
      <c r="ERR42" s="221"/>
      <c r="ERS42" s="222"/>
      <c r="ERT42" s="222"/>
      <c r="ERU42" s="223"/>
      <c r="ERV42" s="223"/>
      <c r="ERW42" s="224"/>
      <c r="ERX42" s="223"/>
      <c r="ERY42" s="223"/>
      <c r="ERZ42" s="223"/>
      <c r="ESA42" s="223"/>
      <c r="ESB42" s="225"/>
      <c r="ESC42" s="220"/>
      <c r="ESD42" s="221"/>
      <c r="ESE42" s="222"/>
      <c r="ESF42" s="222"/>
      <c r="ESG42" s="223"/>
      <c r="ESH42" s="223"/>
      <c r="ESI42" s="224"/>
      <c r="ESJ42" s="223"/>
      <c r="ESK42" s="223"/>
      <c r="ESL42" s="223"/>
      <c r="ESM42" s="223"/>
      <c r="ESN42" s="225"/>
      <c r="ESO42" s="220"/>
      <c r="ESP42" s="221"/>
      <c r="ESQ42" s="222"/>
      <c r="ESR42" s="222"/>
      <c r="ESS42" s="223"/>
      <c r="EST42" s="223"/>
      <c r="ESU42" s="224"/>
      <c r="ESV42" s="223"/>
      <c r="ESW42" s="223"/>
      <c r="ESX42" s="223"/>
      <c r="ESY42" s="223"/>
      <c r="ESZ42" s="225"/>
      <c r="ETA42" s="220"/>
      <c r="ETB42" s="221"/>
      <c r="ETC42" s="222"/>
      <c r="ETD42" s="222"/>
      <c r="ETE42" s="223"/>
      <c r="ETF42" s="223"/>
      <c r="ETG42" s="224"/>
      <c r="ETH42" s="223"/>
      <c r="ETI42" s="223"/>
      <c r="ETJ42" s="223"/>
      <c r="ETK42" s="223"/>
      <c r="ETL42" s="225"/>
      <c r="ETM42" s="220"/>
      <c r="ETN42" s="221"/>
      <c r="ETO42" s="222"/>
      <c r="ETP42" s="222"/>
      <c r="ETQ42" s="223"/>
      <c r="ETR42" s="223"/>
      <c r="ETS42" s="224"/>
      <c r="ETT42" s="223"/>
      <c r="ETU42" s="223"/>
      <c r="ETV42" s="223"/>
      <c r="ETW42" s="223"/>
      <c r="ETX42" s="225"/>
      <c r="ETY42" s="220"/>
      <c r="ETZ42" s="221"/>
      <c r="EUA42" s="222"/>
      <c r="EUB42" s="222"/>
      <c r="EUC42" s="223"/>
      <c r="EUD42" s="223"/>
      <c r="EUE42" s="224"/>
      <c r="EUF42" s="223"/>
      <c r="EUG42" s="223"/>
      <c r="EUH42" s="223"/>
      <c r="EUI42" s="223"/>
      <c r="EUJ42" s="225"/>
      <c r="EUK42" s="220"/>
      <c r="EUL42" s="221"/>
      <c r="EUM42" s="222"/>
      <c r="EUN42" s="222"/>
      <c r="EUO42" s="223"/>
      <c r="EUP42" s="223"/>
      <c r="EUQ42" s="224"/>
      <c r="EUR42" s="223"/>
      <c r="EUS42" s="223"/>
      <c r="EUT42" s="223"/>
      <c r="EUU42" s="223"/>
      <c r="EUV42" s="225"/>
      <c r="EUW42" s="220"/>
      <c r="EUX42" s="221"/>
      <c r="EUY42" s="222"/>
      <c r="EUZ42" s="222"/>
      <c r="EVA42" s="223"/>
      <c r="EVB42" s="223"/>
      <c r="EVC42" s="224"/>
      <c r="EVD42" s="223"/>
      <c r="EVE42" s="223"/>
      <c r="EVF42" s="223"/>
      <c r="EVG42" s="223"/>
      <c r="EVH42" s="225"/>
      <c r="EVI42" s="220"/>
      <c r="EVJ42" s="221"/>
      <c r="EVK42" s="222"/>
      <c r="EVL42" s="222"/>
      <c r="EVM42" s="223"/>
      <c r="EVN42" s="223"/>
      <c r="EVO42" s="224"/>
      <c r="EVP42" s="223"/>
      <c r="EVQ42" s="223"/>
      <c r="EVR42" s="223"/>
      <c r="EVS42" s="223"/>
      <c r="EVT42" s="225"/>
      <c r="EVU42" s="220"/>
      <c r="EVV42" s="221"/>
      <c r="EVW42" s="222"/>
      <c r="EVX42" s="222"/>
      <c r="EVY42" s="223"/>
      <c r="EVZ42" s="223"/>
      <c r="EWA42" s="224"/>
      <c r="EWB42" s="223"/>
      <c r="EWC42" s="223"/>
      <c r="EWD42" s="223"/>
      <c r="EWE42" s="223"/>
      <c r="EWF42" s="225"/>
      <c r="EWG42" s="220"/>
      <c r="EWH42" s="221"/>
      <c r="EWI42" s="222"/>
      <c r="EWJ42" s="222"/>
      <c r="EWK42" s="223"/>
      <c r="EWL42" s="223"/>
      <c r="EWM42" s="224"/>
      <c r="EWN42" s="223"/>
      <c r="EWO42" s="223"/>
      <c r="EWP42" s="223"/>
      <c r="EWQ42" s="223"/>
      <c r="EWR42" s="225"/>
      <c r="EWS42" s="220"/>
      <c r="EWT42" s="221"/>
      <c r="EWU42" s="222"/>
      <c r="EWV42" s="222"/>
      <c r="EWW42" s="223"/>
      <c r="EWX42" s="223"/>
      <c r="EWY42" s="224"/>
      <c r="EWZ42" s="223"/>
      <c r="EXA42" s="223"/>
      <c r="EXB42" s="223"/>
      <c r="EXC42" s="223"/>
      <c r="EXD42" s="225"/>
      <c r="EXE42" s="220"/>
      <c r="EXF42" s="221"/>
      <c r="EXG42" s="222"/>
      <c r="EXH42" s="222"/>
      <c r="EXI42" s="223"/>
      <c r="EXJ42" s="223"/>
      <c r="EXK42" s="224"/>
      <c r="EXL42" s="223"/>
      <c r="EXM42" s="223"/>
      <c r="EXN42" s="223"/>
      <c r="EXO42" s="223"/>
      <c r="EXP42" s="225"/>
      <c r="EXQ42" s="220"/>
      <c r="EXR42" s="221"/>
      <c r="EXS42" s="222"/>
      <c r="EXT42" s="222"/>
      <c r="EXU42" s="223"/>
      <c r="EXV42" s="223"/>
      <c r="EXW42" s="224"/>
      <c r="EXX42" s="223"/>
      <c r="EXY42" s="223"/>
      <c r="EXZ42" s="223"/>
      <c r="EYA42" s="223"/>
      <c r="EYB42" s="225"/>
      <c r="EYC42" s="220"/>
      <c r="EYD42" s="221"/>
      <c r="EYE42" s="222"/>
      <c r="EYF42" s="222"/>
      <c r="EYG42" s="223"/>
      <c r="EYH42" s="223"/>
      <c r="EYI42" s="224"/>
      <c r="EYJ42" s="223"/>
      <c r="EYK42" s="223"/>
      <c r="EYL42" s="223"/>
      <c r="EYM42" s="223"/>
      <c r="EYN42" s="225"/>
      <c r="EYO42" s="220"/>
      <c r="EYP42" s="221"/>
      <c r="EYQ42" s="222"/>
      <c r="EYR42" s="222"/>
      <c r="EYS42" s="223"/>
      <c r="EYT42" s="223"/>
      <c r="EYU42" s="224"/>
      <c r="EYV42" s="223"/>
      <c r="EYW42" s="223"/>
      <c r="EYX42" s="223"/>
      <c r="EYY42" s="223"/>
      <c r="EYZ42" s="225"/>
      <c r="EZA42" s="220"/>
      <c r="EZB42" s="221"/>
      <c r="EZC42" s="222"/>
      <c r="EZD42" s="222"/>
      <c r="EZE42" s="223"/>
      <c r="EZF42" s="223"/>
      <c r="EZG42" s="224"/>
      <c r="EZH42" s="223"/>
      <c r="EZI42" s="223"/>
      <c r="EZJ42" s="223"/>
      <c r="EZK42" s="223"/>
      <c r="EZL42" s="225"/>
      <c r="EZM42" s="220"/>
      <c r="EZN42" s="221"/>
      <c r="EZO42" s="222"/>
      <c r="EZP42" s="222"/>
      <c r="EZQ42" s="223"/>
      <c r="EZR42" s="223"/>
      <c r="EZS42" s="224"/>
      <c r="EZT42" s="223"/>
      <c r="EZU42" s="223"/>
      <c r="EZV42" s="223"/>
      <c r="EZW42" s="223"/>
      <c r="EZX42" s="225"/>
      <c r="EZY42" s="220"/>
      <c r="EZZ42" s="221"/>
      <c r="FAA42" s="222"/>
      <c r="FAB42" s="222"/>
      <c r="FAC42" s="223"/>
      <c r="FAD42" s="223"/>
      <c r="FAE42" s="224"/>
      <c r="FAF42" s="223"/>
      <c r="FAG42" s="223"/>
      <c r="FAH42" s="223"/>
      <c r="FAI42" s="223"/>
      <c r="FAJ42" s="225"/>
      <c r="FAK42" s="220"/>
      <c r="FAL42" s="221"/>
      <c r="FAM42" s="222"/>
      <c r="FAN42" s="222"/>
      <c r="FAO42" s="223"/>
      <c r="FAP42" s="223"/>
      <c r="FAQ42" s="224"/>
      <c r="FAR42" s="223"/>
      <c r="FAS42" s="223"/>
      <c r="FAT42" s="223"/>
      <c r="FAU42" s="223"/>
      <c r="FAV42" s="225"/>
      <c r="FAW42" s="220"/>
      <c r="FAX42" s="221"/>
      <c r="FAY42" s="222"/>
      <c r="FAZ42" s="222"/>
      <c r="FBA42" s="223"/>
      <c r="FBB42" s="223"/>
      <c r="FBC42" s="224"/>
      <c r="FBD42" s="223"/>
      <c r="FBE42" s="223"/>
      <c r="FBF42" s="223"/>
      <c r="FBG42" s="223"/>
      <c r="FBH42" s="225"/>
      <c r="FBI42" s="220"/>
      <c r="FBJ42" s="221"/>
      <c r="FBK42" s="222"/>
      <c r="FBL42" s="222"/>
      <c r="FBM42" s="223"/>
      <c r="FBN42" s="223"/>
      <c r="FBO42" s="224"/>
      <c r="FBP42" s="223"/>
      <c r="FBQ42" s="223"/>
      <c r="FBR42" s="223"/>
      <c r="FBS42" s="223"/>
      <c r="FBT42" s="225"/>
      <c r="FBU42" s="220"/>
      <c r="FBV42" s="221"/>
      <c r="FBW42" s="222"/>
      <c r="FBX42" s="222"/>
      <c r="FBY42" s="223"/>
      <c r="FBZ42" s="223"/>
      <c r="FCA42" s="224"/>
      <c r="FCB42" s="223"/>
      <c r="FCC42" s="223"/>
      <c r="FCD42" s="223"/>
      <c r="FCE42" s="223"/>
      <c r="FCF42" s="225"/>
      <c r="FCG42" s="220"/>
      <c r="FCH42" s="221"/>
      <c r="FCI42" s="222"/>
      <c r="FCJ42" s="222"/>
      <c r="FCK42" s="223"/>
      <c r="FCL42" s="223"/>
      <c r="FCM42" s="224"/>
      <c r="FCN42" s="223"/>
      <c r="FCO42" s="223"/>
      <c r="FCP42" s="223"/>
      <c r="FCQ42" s="223"/>
      <c r="FCR42" s="225"/>
      <c r="FCS42" s="220"/>
      <c r="FCT42" s="221"/>
      <c r="FCU42" s="222"/>
      <c r="FCV42" s="222"/>
      <c r="FCW42" s="223"/>
      <c r="FCX42" s="223"/>
      <c r="FCY42" s="224"/>
      <c r="FCZ42" s="223"/>
      <c r="FDA42" s="223"/>
      <c r="FDB42" s="223"/>
      <c r="FDC42" s="223"/>
      <c r="FDD42" s="225"/>
      <c r="FDE42" s="220"/>
      <c r="FDF42" s="221"/>
      <c r="FDG42" s="222"/>
      <c r="FDH42" s="222"/>
      <c r="FDI42" s="223"/>
      <c r="FDJ42" s="223"/>
      <c r="FDK42" s="224"/>
      <c r="FDL42" s="223"/>
      <c r="FDM42" s="223"/>
      <c r="FDN42" s="223"/>
      <c r="FDO42" s="223"/>
      <c r="FDP42" s="225"/>
      <c r="FDQ42" s="220"/>
      <c r="FDR42" s="221"/>
      <c r="FDS42" s="222"/>
      <c r="FDT42" s="222"/>
      <c r="FDU42" s="223"/>
      <c r="FDV42" s="223"/>
      <c r="FDW42" s="224"/>
      <c r="FDX42" s="223"/>
      <c r="FDY42" s="223"/>
      <c r="FDZ42" s="223"/>
      <c r="FEA42" s="223"/>
      <c r="FEB42" s="225"/>
      <c r="FEC42" s="220"/>
      <c r="FED42" s="221"/>
      <c r="FEE42" s="222"/>
      <c r="FEF42" s="222"/>
      <c r="FEG42" s="223"/>
      <c r="FEH42" s="223"/>
      <c r="FEI42" s="224"/>
      <c r="FEJ42" s="223"/>
      <c r="FEK42" s="223"/>
      <c r="FEL42" s="223"/>
      <c r="FEM42" s="223"/>
      <c r="FEN42" s="225"/>
      <c r="FEO42" s="220"/>
      <c r="FEP42" s="221"/>
      <c r="FEQ42" s="222"/>
      <c r="FER42" s="222"/>
      <c r="FES42" s="223"/>
      <c r="FET42" s="223"/>
      <c r="FEU42" s="224"/>
      <c r="FEV42" s="223"/>
      <c r="FEW42" s="223"/>
      <c r="FEX42" s="223"/>
      <c r="FEY42" s="223"/>
      <c r="FEZ42" s="225"/>
      <c r="FFA42" s="220"/>
      <c r="FFB42" s="221"/>
      <c r="FFC42" s="222"/>
      <c r="FFD42" s="222"/>
      <c r="FFE42" s="223"/>
      <c r="FFF42" s="223"/>
      <c r="FFG42" s="224"/>
      <c r="FFH42" s="223"/>
      <c r="FFI42" s="223"/>
      <c r="FFJ42" s="223"/>
      <c r="FFK42" s="223"/>
      <c r="FFL42" s="225"/>
      <c r="FFM42" s="220"/>
      <c r="FFN42" s="221"/>
      <c r="FFO42" s="222"/>
      <c r="FFP42" s="222"/>
      <c r="FFQ42" s="223"/>
      <c r="FFR42" s="223"/>
      <c r="FFS42" s="224"/>
      <c r="FFT42" s="223"/>
      <c r="FFU42" s="223"/>
      <c r="FFV42" s="223"/>
      <c r="FFW42" s="223"/>
      <c r="FFX42" s="225"/>
      <c r="FFY42" s="220"/>
      <c r="FFZ42" s="221"/>
      <c r="FGA42" s="222"/>
      <c r="FGB42" s="222"/>
      <c r="FGC42" s="223"/>
      <c r="FGD42" s="223"/>
      <c r="FGE42" s="224"/>
      <c r="FGF42" s="223"/>
      <c r="FGG42" s="223"/>
      <c r="FGH42" s="223"/>
      <c r="FGI42" s="223"/>
      <c r="FGJ42" s="225"/>
      <c r="FGK42" s="220"/>
      <c r="FGL42" s="221"/>
      <c r="FGM42" s="222"/>
      <c r="FGN42" s="222"/>
      <c r="FGO42" s="223"/>
      <c r="FGP42" s="223"/>
      <c r="FGQ42" s="224"/>
      <c r="FGR42" s="223"/>
      <c r="FGS42" s="223"/>
      <c r="FGT42" s="223"/>
      <c r="FGU42" s="223"/>
      <c r="FGV42" s="225"/>
      <c r="FGW42" s="220"/>
      <c r="FGX42" s="221"/>
      <c r="FGY42" s="222"/>
      <c r="FGZ42" s="222"/>
      <c r="FHA42" s="223"/>
      <c r="FHB42" s="223"/>
      <c r="FHC42" s="224"/>
      <c r="FHD42" s="223"/>
      <c r="FHE42" s="223"/>
      <c r="FHF42" s="223"/>
      <c r="FHG42" s="223"/>
      <c r="FHH42" s="225"/>
      <c r="FHI42" s="220"/>
      <c r="FHJ42" s="221"/>
      <c r="FHK42" s="222"/>
      <c r="FHL42" s="222"/>
      <c r="FHM42" s="223"/>
      <c r="FHN42" s="223"/>
      <c r="FHO42" s="224"/>
      <c r="FHP42" s="223"/>
      <c r="FHQ42" s="223"/>
      <c r="FHR42" s="223"/>
      <c r="FHS42" s="223"/>
      <c r="FHT42" s="225"/>
      <c r="FHU42" s="220"/>
      <c r="FHV42" s="221"/>
      <c r="FHW42" s="222"/>
      <c r="FHX42" s="222"/>
      <c r="FHY42" s="223"/>
      <c r="FHZ42" s="223"/>
      <c r="FIA42" s="224"/>
      <c r="FIB42" s="223"/>
      <c r="FIC42" s="223"/>
      <c r="FID42" s="223"/>
      <c r="FIE42" s="223"/>
      <c r="FIF42" s="225"/>
      <c r="FIG42" s="220"/>
      <c r="FIH42" s="221"/>
      <c r="FII42" s="222"/>
      <c r="FIJ42" s="222"/>
      <c r="FIK42" s="223"/>
      <c r="FIL42" s="223"/>
      <c r="FIM42" s="224"/>
      <c r="FIN42" s="223"/>
      <c r="FIO42" s="223"/>
      <c r="FIP42" s="223"/>
      <c r="FIQ42" s="223"/>
      <c r="FIR42" s="225"/>
      <c r="FIS42" s="220"/>
      <c r="FIT42" s="221"/>
      <c r="FIU42" s="222"/>
      <c r="FIV42" s="222"/>
      <c r="FIW42" s="223"/>
      <c r="FIX42" s="223"/>
      <c r="FIY42" s="224"/>
      <c r="FIZ42" s="223"/>
      <c r="FJA42" s="223"/>
      <c r="FJB42" s="223"/>
      <c r="FJC42" s="223"/>
      <c r="FJD42" s="225"/>
      <c r="FJE42" s="220"/>
      <c r="FJF42" s="221"/>
      <c r="FJG42" s="222"/>
      <c r="FJH42" s="222"/>
      <c r="FJI42" s="223"/>
      <c r="FJJ42" s="223"/>
      <c r="FJK42" s="224"/>
      <c r="FJL42" s="223"/>
      <c r="FJM42" s="223"/>
      <c r="FJN42" s="223"/>
      <c r="FJO42" s="223"/>
      <c r="FJP42" s="225"/>
      <c r="FJQ42" s="220"/>
      <c r="FJR42" s="221"/>
      <c r="FJS42" s="222"/>
      <c r="FJT42" s="222"/>
      <c r="FJU42" s="223"/>
      <c r="FJV42" s="223"/>
      <c r="FJW42" s="224"/>
      <c r="FJX42" s="223"/>
      <c r="FJY42" s="223"/>
      <c r="FJZ42" s="223"/>
      <c r="FKA42" s="223"/>
      <c r="FKB42" s="225"/>
      <c r="FKC42" s="220"/>
      <c r="FKD42" s="221"/>
      <c r="FKE42" s="222"/>
      <c r="FKF42" s="222"/>
      <c r="FKG42" s="223"/>
      <c r="FKH42" s="223"/>
      <c r="FKI42" s="224"/>
      <c r="FKJ42" s="223"/>
      <c r="FKK42" s="223"/>
      <c r="FKL42" s="223"/>
      <c r="FKM42" s="223"/>
      <c r="FKN42" s="225"/>
      <c r="FKO42" s="220"/>
      <c r="FKP42" s="221"/>
      <c r="FKQ42" s="222"/>
      <c r="FKR42" s="222"/>
      <c r="FKS42" s="223"/>
      <c r="FKT42" s="223"/>
      <c r="FKU42" s="224"/>
      <c r="FKV42" s="223"/>
      <c r="FKW42" s="223"/>
      <c r="FKX42" s="223"/>
      <c r="FKY42" s="223"/>
      <c r="FKZ42" s="225"/>
      <c r="FLA42" s="220"/>
      <c r="FLB42" s="221"/>
      <c r="FLC42" s="222"/>
      <c r="FLD42" s="222"/>
      <c r="FLE42" s="223"/>
      <c r="FLF42" s="223"/>
      <c r="FLG42" s="224"/>
      <c r="FLH42" s="223"/>
      <c r="FLI42" s="223"/>
      <c r="FLJ42" s="223"/>
      <c r="FLK42" s="223"/>
      <c r="FLL42" s="225"/>
      <c r="FLM42" s="220"/>
      <c r="FLN42" s="221"/>
      <c r="FLO42" s="222"/>
      <c r="FLP42" s="222"/>
      <c r="FLQ42" s="223"/>
      <c r="FLR42" s="223"/>
      <c r="FLS42" s="224"/>
      <c r="FLT42" s="223"/>
      <c r="FLU42" s="223"/>
      <c r="FLV42" s="223"/>
      <c r="FLW42" s="223"/>
      <c r="FLX42" s="225"/>
      <c r="FLY42" s="220"/>
      <c r="FLZ42" s="221"/>
      <c r="FMA42" s="222"/>
      <c r="FMB42" s="222"/>
      <c r="FMC42" s="223"/>
      <c r="FMD42" s="223"/>
      <c r="FME42" s="224"/>
      <c r="FMF42" s="223"/>
      <c r="FMG42" s="223"/>
      <c r="FMH42" s="223"/>
      <c r="FMI42" s="223"/>
      <c r="FMJ42" s="225"/>
      <c r="FMK42" s="220"/>
      <c r="FML42" s="221"/>
      <c r="FMM42" s="222"/>
      <c r="FMN42" s="222"/>
      <c r="FMO42" s="223"/>
      <c r="FMP42" s="223"/>
      <c r="FMQ42" s="224"/>
      <c r="FMR42" s="223"/>
      <c r="FMS42" s="223"/>
      <c r="FMT42" s="223"/>
      <c r="FMU42" s="223"/>
      <c r="FMV42" s="225"/>
      <c r="FMW42" s="220"/>
      <c r="FMX42" s="221"/>
      <c r="FMY42" s="222"/>
      <c r="FMZ42" s="222"/>
      <c r="FNA42" s="223"/>
      <c r="FNB42" s="223"/>
      <c r="FNC42" s="224"/>
      <c r="FND42" s="223"/>
      <c r="FNE42" s="223"/>
      <c r="FNF42" s="223"/>
      <c r="FNG42" s="223"/>
      <c r="FNH42" s="225"/>
      <c r="FNI42" s="220"/>
      <c r="FNJ42" s="221"/>
      <c r="FNK42" s="222"/>
      <c r="FNL42" s="222"/>
      <c r="FNM42" s="223"/>
      <c r="FNN42" s="223"/>
      <c r="FNO42" s="224"/>
      <c r="FNP42" s="223"/>
      <c r="FNQ42" s="223"/>
      <c r="FNR42" s="223"/>
      <c r="FNS42" s="223"/>
      <c r="FNT42" s="225"/>
      <c r="FNU42" s="220"/>
      <c r="FNV42" s="221"/>
      <c r="FNW42" s="222"/>
      <c r="FNX42" s="222"/>
      <c r="FNY42" s="223"/>
      <c r="FNZ42" s="223"/>
      <c r="FOA42" s="224"/>
      <c r="FOB42" s="223"/>
      <c r="FOC42" s="223"/>
      <c r="FOD42" s="223"/>
      <c r="FOE42" s="223"/>
      <c r="FOF42" s="225"/>
      <c r="FOG42" s="220"/>
      <c r="FOH42" s="221"/>
      <c r="FOI42" s="222"/>
      <c r="FOJ42" s="222"/>
      <c r="FOK42" s="223"/>
      <c r="FOL42" s="223"/>
      <c r="FOM42" s="224"/>
      <c r="FON42" s="223"/>
      <c r="FOO42" s="223"/>
      <c r="FOP42" s="223"/>
      <c r="FOQ42" s="223"/>
      <c r="FOR42" s="225"/>
      <c r="FOS42" s="220"/>
      <c r="FOT42" s="221"/>
      <c r="FOU42" s="222"/>
      <c r="FOV42" s="222"/>
      <c r="FOW42" s="223"/>
      <c r="FOX42" s="223"/>
      <c r="FOY42" s="224"/>
      <c r="FOZ42" s="223"/>
      <c r="FPA42" s="223"/>
      <c r="FPB42" s="223"/>
      <c r="FPC42" s="223"/>
      <c r="FPD42" s="225"/>
      <c r="FPE42" s="220"/>
      <c r="FPF42" s="221"/>
      <c r="FPG42" s="222"/>
      <c r="FPH42" s="222"/>
      <c r="FPI42" s="223"/>
      <c r="FPJ42" s="223"/>
      <c r="FPK42" s="224"/>
      <c r="FPL42" s="223"/>
      <c r="FPM42" s="223"/>
      <c r="FPN42" s="223"/>
      <c r="FPO42" s="223"/>
      <c r="FPP42" s="225"/>
      <c r="FPQ42" s="220"/>
      <c r="FPR42" s="221"/>
      <c r="FPS42" s="222"/>
      <c r="FPT42" s="222"/>
      <c r="FPU42" s="223"/>
      <c r="FPV42" s="223"/>
      <c r="FPW42" s="224"/>
      <c r="FPX42" s="223"/>
      <c r="FPY42" s="223"/>
      <c r="FPZ42" s="223"/>
      <c r="FQA42" s="223"/>
      <c r="FQB42" s="225"/>
      <c r="FQC42" s="220"/>
      <c r="FQD42" s="221"/>
      <c r="FQE42" s="222"/>
      <c r="FQF42" s="222"/>
      <c r="FQG42" s="223"/>
      <c r="FQH42" s="223"/>
      <c r="FQI42" s="224"/>
      <c r="FQJ42" s="223"/>
      <c r="FQK42" s="223"/>
      <c r="FQL42" s="223"/>
      <c r="FQM42" s="223"/>
      <c r="FQN42" s="225"/>
      <c r="FQO42" s="220"/>
      <c r="FQP42" s="221"/>
      <c r="FQQ42" s="222"/>
      <c r="FQR42" s="222"/>
      <c r="FQS42" s="223"/>
      <c r="FQT42" s="223"/>
      <c r="FQU42" s="224"/>
      <c r="FQV42" s="223"/>
      <c r="FQW42" s="223"/>
      <c r="FQX42" s="223"/>
      <c r="FQY42" s="223"/>
      <c r="FQZ42" s="225"/>
      <c r="FRA42" s="220"/>
      <c r="FRB42" s="221"/>
      <c r="FRC42" s="222"/>
      <c r="FRD42" s="222"/>
      <c r="FRE42" s="223"/>
      <c r="FRF42" s="223"/>
      <c r="FRG42" s="224"/>
      <c r="FRH42" s="223"/>
      <c r="FRI42" s="223"/>
      <c r="FRJ42" s="223"/>
      <c r="FRK42" s="223"/>
      <c r="FRL42" s="225"/>
      <c r="FRM42" s="220"/>
      <c r="FRN42" s="221"/>
      <c r="FRO42" s="222"/>
      <c r="FRP42" s="222"/>
      <c r="FRQ42" s="223"/>
      <c r="FRR42" s="223"/>
      <c r="FRS42" s="224"/>
      <c r="FRT42" s="223"/>
      <c r="FRU42" s="223"/>
      <c r="FRV42" s="223"/>
      <c r="FRW42" s="223"/>
      <c r="FRX42" s="225"/>
      <c r="FRY42" s="220"/>
      <c r="FRZ42" s="221"/>
      <c r="FSA42" s="222"/>
      <c r="FSB42" s="222"/>
      <c r="FSC42" s="223"/>
      <c r="FSD42" s="223"/>
      <c r="FSE42" s="224"/>
      <c r="FSF42" s="223"/>
      <c r="FSG42" s="223"/>
      <c r="FSH42" s="223"/>
      <c r="FSI42" s="223"/>
      <c r="FSJ42" s="225"/>
      <c r="FSK42" s="220"/>
      <c r="FSL42" s="221"/>
      <c r="FSM42" s="222"/>
      <c r="FSN42" s="222"/>
      <c r="FSO42" s="223"/>
      <c r="FSP42" s="223"/>
      <c r="FSQ42" s="224"/>
      <c r="FSR42" s="223"/>
      <c r="FSS42" s="223"/>
      <c r="FST42" s="223"/>
      <c r="FSU42" s="223"/>
      <c r="FSV42" s="225"/>
      <c r="FSW42" s="220"/>
      <c r="FSX42" s="221"/>
      <c r="FSY42" s="222"/>
      <c r="FSZ42" s="222"/>
      <c r="FTA42" s="223"/>
      <c r="FTB42" s="223"/>
      <c r="FTC42" s="224"/>
      <c r="FTD42" s="223"/>
      <c r="FTE42" s="223"/>
      <c r="FTF42" s="223"/>
      <c r="FTG42" s="223"/>
      <c r="FTH42" s="225"/>
      <c r="FTI42" s="220"/>
      <c r="FTJ42" s="221"/>
      <c r="FTK42" s="222"/>
      <c r="FTL42" s="222"/>
      <c r="FTM42" s="223"/>
      <c r="FTN42" s="223"/>
      <c r="FTO42" s="224"/>
      <c r="FTP42" s="223"/>
      <c r="FTQ42" s="223"/>
      <c r="FTR42" s="223"/>
      <c r="FTS42" s="223"/>
      <c r="FTT42" s="225"/>
      <c r="FTU42" s="220"/>
      <c r="FTV42" s="221"/>
      <c r="FTW42" s="222"/>
      <c r="FTX42" s="222"/>
      <c r="FTY42" s="223"/>
      <c r="FTZ42" s="223"/>
      <c r="FUA42" s="224"/>
      <c r="FUB42" s="223"/>
      <c r="FUC42" s="223"/>
      <c r="FUD42" s="223"/>
      <c r="FUE42" s="223"/>
      <c r="FUF42" s="225"/>
      <c r="FUG42" s="220"/>
      <c r="FUH42" s="221"/>
      <c r="FUI42" s="222"/>
      <c r="FUJ42" s="222"/>
      <c r="FUK42" s="223"/>
      <c r="FUL42" s="223"/>
      <c r="FUM42" s="224"/>
      <c r="FUN42" s="223"/>
      <c r="FUO42" s="223"/>
      <c r="FUP42" s="223"/>
      <c r="FUQ42" s="223"/>
      <c r="FUR42" s="225"/>
      <c r="FUS42" s="220"/>
      <c r="FUT42" s="221"/>
      <c r="FUU42" s="222"/>
      <c r="FUV42" s="222"/>
      <c r="FUW42" s="223"/>
      <c r="FUX42" s="223"/>
      <c r="FUY42" s="224"/>
      <c r="FUZ42" s="223"/>
      <c r="FVA42" s="223"/>
      <c r="FVB42" s="223"/>
      <c r="FVC42" s="223"/>
      <c r="FVD42" s="225"/>
      <c r="FVE42" s="220"/>
      <c r="FVF42" s="221"/>
      <c r="FVG42" s="222"/>
      <c r="FVH42" s="222"/>
      <c r="FVI42" s="223"/>
      <c r="FVJ42" s="223"/>
      <c r="FVK42" s="224"/>
      <c r="FVL42" s="223"/>
      <c r="FVM42" s="223"/>
      <c r="FVN42" s="223"/>
      <c r="FVO42" s="223"/>
      <c r="FVP42" s="225"/>
      <c r="FVQ42" s="220"/>
      <c r="FVR42" s="221"/>
      <c r="FVS42" s="222"/>
      <c r="FVT42" s="222"/>
      <c r="FVU42" s="223"/>
      <c r="FVV42" s="223"/>
      <c r="FVW42" s="224"/>
      <c r="FVX42" s="223"/>
      <c r="FVY42" s="223"/>
      <c r="FVZ42" s="223"/>
      <c r="FWA42" s="223"/>
      <c r="FWB42" s="225"/>
      <c r="FWC42" s="220"/>
      <c r="FWD42" s="221"/>
      <c r="FWE42" s="222"/>
      <c r="FWF42" s="222"/>
      <c r="FWG42" s="223"/>
      <c r="FWH42" s="223"/>
      <c r="FWI42" s="224"/>
      <c r="FWJ42" s="223"/>
      <c r="FWK42" s="223"/>
      <c r="FWL42" s="223"/>
      <c r="FWM42" s="223"/>
      <c r="FWN42" s="225"/>
      <c r="FWO42" s="220"/>
      <c r="FWP42" s="221"/>
      <c r="FWQ42" s="222"/>
      <c r="FWR42" s="222"/>
      <c r="FWS42" s="223"/>
      <c r="FWT42" s="223"/>
      <c r="FWU42" s="224"/>
      <c r="FWV42" s="223"/>
      <c r="FWW42" s="223"/>
      <c r="FWX42" s="223"/>
      <c r="FWY42" s="223"/>
      <c r="FWZ42" s="225"/>
      <c r="FXA42" s="220"/>
      <c r="FXB42" s="221"/>
      <c r="FXC42" s="222"/>
      <c r="FXD42" s="222"/>
      <c r="FXE42" s="223"/>
      <c r="FXF42" s="223"/>
      <c r="FXG42" s="224"/>
      <c r="FXH42" s="223"/>
      <c r="FXI42" s="223"/>
      <c r="FXJ42" s="223"/>
      <c r="FXK42" s="223"/>
      <c r="FXL42" s="225"/>
      <c r="FXM42" s="220"/>
      <c r="FXN42" s="221"/>
      <c r="FXO42" s="222"/>
      <c r="FXP42" s="222"/>
      <c r="FXQ42" s="223"/>
      <c r="FXR42" s="223"/>
      <c r="FXS42" s="224"/>
      <c r="FXT42" s="223"/>
      <c r="FXU42" s="223"/>
      <c r="FXV42" s="223"/>
      <c r="FXW42" s="223"/>
      <c r="FXX42" s="225"/>
      <c r="FXY42" s="220"/>
      <c r="FXZ42" s="221"/>
      <c r="FYA42" s="222"/>
      <c r="FYB42" s="222"/>
      <c r="FYC42" s="223"/>
      <c r="FYD42" s="223"/>
      <c r="FYE42" s="224"/>
      <c r="FYF42" s="223"/>
      <c r="FYG42" s="223"/>
      <c r="FYH42" s="223"/>
      <c r="FYI42" s="223"/>
      <c r="FYJ42" s="225"/>
      <c r="FYK42" s="220"/>
      <c r="FYL42" s="221"/>
      <c r="FYM42" s="222"/>
      <c r="FYN42" s="222"/>
      <c r="FYO42" s="223"/>
      <c r="FYP42" s="223"/>
      <c r="FYQ42" s="224"/>
      <c r="FYR42" s="223"/>
      <c r="FYS42" s="223"/>
      <c r="FYT42" s="223"/>
      <c r="FYU42" s="223"/>
      <c r="FYV42" s="225"/>
      <c r="FYW42" s="220"/>
      <c r="FYX42" s="221"/>
      <c r="FYY42" s="222"/>
      <c r="FYZ42" s="222"/>
      <c r="FZA42" s="223"/>
      <c r="FZB42" s="223"/>
      <c r="FZC42" s="224"/>
      <c r="FZD42" s="223"/>
      <c r="FZE42" s="223"/>
      <c r="FZF42" s="223"/>
      <c r="FZG42" s="223"/>
      <c r="FZH42" s="225"/>
      <c r="FZI42" s="220"/>
      <c r="FZJ42" s="221"/>
      <c r="FZK42" s="222"/>
      <c r="FZL42" s="222"/>
      <c r="FZM42" s="223"/>
      <c r="FZN42" s="223"/>
      <c r="FZO42" s="224"/>
      <c r="FZP42" s="223"/>
      <c r="FZQ42" s="223"/>
      <c r="FZR42" s="223"/>
      <c r="FZS42" s="223"/>
      <c r="FZT42" s="225"/>
      <c r="FZU42" s="220"/>
      <c r="FZV42" s="221"/>
      <c r="FZW42" s="222"/>
      <c r="FZX42" s="222"/>
      <c r="FZY42" s="223"/>
      <c r="FZZ42" s="223"/>
      <c r="GAA42" s="224"/>
      <c r="GAB42" s="223"/>
      <c r="GAC42" s="223"/>
      <c r="GAD42" s="223"/>
      <c r="GAE42" s="223"/>
      <c r="GAF42" s="225"/>
      <c r="GAG42" s="220"/>
      <c r="GAH42" s="221"/>
      <c r="GAI42" s="222"/>
      <c r="GAJ42" s="222"/>
      <c r="GAK42" s="223"/>
      <c r="GAL42" s="223"/>
      <c r="GAM42" s="224"/>
      <c r="GAN42" s="223"/>
      <c r="GAO42" s="223"/>
      <c r="GAP42" s="223"/>
      <c r="GAQ42" s="223"/>
      <c r="GAR42" s="225"/>
      <c r="GAS42" s="220"/>
      <c r="GAT42" s="221"/>
      <c r="GAU42" s="222"/>
      <c r="GAV42" s="222"/>
      <c r="GAW42" s="223"/>
      <c r="GAX42" s="223"/>
      <c r="GAY42" s="224"/>
      <c r="GAZ42" s="223"/>
      <c r="GBA42" s="223"/>
      <c r="GBB42" s="223"/>
      <c r="GBC42" s="223"/>
      <c r="GBD42" s="225"/>
      <c r="GBE42" s="220"/>
      <c r="GBF42" s="221"/>
      <c r="GBG42" s="222"/>
      <c r="GBH42" s="222"/>
      <c r="GBI42" s="223"/>
      <c r="GBJ42" s="223"/>
      <c r="GBK42" s="224"/>
      <c r="GBL42" s="223"/>
      <c r="GBM42" s="223"/>
      <c r="GBN42" s="223"/>
      <c r="GBO42" s="223"/>
      <c r="GBP42" s="225"/>
      <c r="GBQ42" s="220"/>
      <c r="GBR42" s="221"/>
      <c r="GBS42" s="222"/>
      <c r="GBT42" s="222"/>
      <c r="GBU42" s="223"/>
      <c r="GBV42" s="223"/>
      <c r="GBW42" s="224"/>
      <c r="GBX42" s="223"/>
      <c r="GBY42" s="223"/>
      <c r="GBZ42" s="223"/>
      <c r="GCA42" s="223"/>
      <c r="GCB42" s="225"/>
      <c r="GCC42" s="220"/>
      <c r="GCD42" s="221"/>
      <c r="GCE42" s="222"/>
      <c r="GCF42" s="222"/>
      <c r="GCG42" s="223"/>
      <c r="GCH42" s="223"/>
      <c r="GCI42" s="224"/>
      <c r="GCJ42" s="223"/>
      <c r="GCK42" s="223"/>
      <c r="GCL42" s="223"/>
      <c r="GCM42" s="223"/>
      <c r="GCN42" s="225"/>
      <c r="GCO42" s="220"/>
      <c r="GCP42" s="221"/>
      <c r="GCQ42" s="222"/>
      <c r="GCR42" s="222"/>
      <c r="GCS42" s="223"/>
      <c r="GCT42" s="223"/>
      <c r="GCU42" s="224"/>
      <c r="GCV42" s="223"/>
      <c r="GCW42" s="223"/>
      <c r="GCX42" s="223"/>
      <c r="GCY42" s="223"/>
      <c r="GCZ42" s="225"/>
      <c r="GDA42" s="220"/>
      <c r="GDB42" s="221"/>
      <c r="GDC42" s="222"/>
      <c r="GDD42" s="222"/>
      <c r="GDE42" s="223"/>
      <c r="GDF42" s="223"/>
      <c r="GDG42" s="224"/>
      <c r="GDH42" s="223"/>
      <c r="GDI42" s="223"/>
      <c r="GDJ42" s="223"/>
      <c r="GDK42" s="223"/>
      <c r="GDL42" s="225"/>
      <c r="GDM42" s="220"/>
      <c r="GDN42" s="221"/>
      <c r="GDO42" s="222"/>
      <c r="GDP42" s="222"/>
      <c r="GDQ42" s="223"/>
      <c r="GDR42" s="223"/>
      <c r="GDS42" s="224"/>
      <c r="GDT42" s="223"/>
      <c r="GDU42" s="223"/>
      <c r="GDV42" s="223"/>
      <c r="GDW42" s="223"/>
      <c r="GDX42" s="225"/>
      <c r="GDY42" s="220"/>
      <c r="GDZ42" s="221"/>
      <c r="GEA42" s="222"/>
      <c r="GEB42" s="222"/>
      <c r="GEC42" s="223"/>
      <c r="GED42" s="223"/>
      <c r="GEE42" s="224"/>
      <c r="GEF42" s="223"/>
      <c r="GEG42" s="223"/>
      <c r="GEH42" s="223"/>
      <c r="GEI42" s="223"/>
      <c r="GEJ42" s="225"/>
      <c r="GEK42" s="220"/>
      <c r="GEL42" s="221"/>
      <c r="GEM42" s="222"/>
      <c r="GEN42" s="222"/>
      <c r="GEO42" s="223"/>
      <c r="GEP42" s="223"/>
      <c r="GEQ42" s="224"/>
      <c r="GER42" s="223"/>
      <c r="GES42" s="223"/>
      <c r="GET42" s="223"/>
      <c r="GEU42" s="223"/>
      <c r="GEV42" s="225"/>
      <c r="GEW42" s="220"/>
      <c r="GEX42" s="221"/>
      <c r="GEY42" s="222"/>
      <c r="GEZ42" s="222"/>
      <c r="GFA42" s="223"/>
      <c r="GFB42" s="223"/>
      <c r="GFC42" s="224"/>
      <c r="GFD42" s="223"/>
      <c r="GFE42" s="223"/>
      <c r="GFF42" s="223"/>
      <c r="GFG42" s="223"/>
      <c r="GFH42" s="225"/>
      <c r="GFI42" s="220"/>
      <c r="GFJ42" s="221"/>
      <c r="GFK42" s="222"/>
      <c r="GFL42" s="222"/>
      <c r="GFM42" s="223"/>
      <c r="GFN42" s="223"/>
      <c r="GFO42" s="224"/>
      <c r="GFP42" s="223"/>
      <c r="GFQ42" s="223"/>
      <c r="GFR42" s="223"/>
      <c r="GFS42" s="223"/>
      <c r="GFT42" s="225"/>
      <c r="GFU42" s="220"/>
      <c r="GFV42" s="221"/>
      <c r="GFW42" s="222"/>
      <c r="GFX42" s="222"/>
      <c r="GFY42" s="223"/>
      <c r="GFZ42" s="223"/>
      <c r="GGA42" s="224"/>
      <c r="GGB42" s="223"/>
      <c r="GGC42" s="223"/>
      <c r="GGD42" s="223"/>
      <c r="GGE42" s="223"/>
      <c r="GGF42" s="225"/>
      <c r="GGG42" s="220"/>
      <c r="GGH42" s="221"/>
      <c r="GGI42" s="222"/>
      <c r="GGJ42" s="222"/>
      <c r="GGK42" s="223"/>
      <c r="GGL42" s="223"/>
      <c r="GGM42" s="224"/>
      <c r="GGN42" s="223"/>
      <c r="GGO42" s="223"/>
      <c r="GGP42" s="223"/>
      <c r="GGQ42" s="223"/>
      <c r="GGR42" s="225"/>
      <c r="GGS42" s="220"/>
      <c r="GGT42" s="221"/>
      <c r="GGU42" s="222"/>
      <c r="GGV42" s="222"/>
      <c r="GGW42" s="223"/>
      <c r="GGX42" s="223"/>
      <c r="GGY42" s="224"/>
      <c r="GGZ42" s="223"/>
      <c r="GHA42" s="223"/>
      <c r="GHB42" s="223"/>
      <c r="GHC42" s="223"/>
      <c r="GHD42" s="225"/>
      <c r="GHE42" s="220"/>
      <c r="GHF42" s="221"/>
      <c r="GHG42" s="222"/>
      <c r="GHH42" s="222"/>
      <c r="GHI42" s="223"/>
      <c r="GHJ42" s="223"/>
      <c r="GHK42" s="224"/>
      <c r="GHL42" s="223"/>
      <c r="GHM42" s="223"/>
      <c r="GHN42" s="223"/>
      <c r="GHO42" s="223"/>
      <c r="GHP42" s="225"/>
      <c r="GHQ42" s="220"/>
      <c r="GHR42" s="221"/>
      <c r="GHS42" s="222"/>
      <c r="GHT42" s="222"/>
      <c r="GHU42" s="223"/>
      <c r="GHV42" s="223"/>
      <c r="GHW42" s="224"/>
      <c r="GHX42" s="223"/>
      <c r="GHY42" s="223"/>
      <c r="GHZ42" s="223"/>
      <c r="GIA42" s="223"/>
      <c r="GIB42" s="225"/>
      <c r="GIC42" s="220"/>
      <c r="GID42" s="221"/>
      <c r="GIE42" s="222"/>
      <c r="GIF42" s="222"/>
      <c r="GIG42" s="223"/>
      <c r="GIH42" s="223"/>
      <c r="GII42" s="224"/>
      <c r="GIJ42" s="223"/>
      <c r="GIK42" s="223"/>
      <c r="GIL42" s="223"/>
      <c r="GIM42" s="223"/>
      <c r="GIN42" s="225"/>
      <c r="GIO42" s="220"/>
      <c r="GIP42" s="221"/>
      <c r="GIQ42" s="222"/>
      <c r="GIR42" s="222"/>
      <c r="GIS42" s="223"/>
      <c r="GIT42" s="223"/>
      <c r="GIU42" s="224"/>
      <c r="GIV42" s="223"/>
      <c r="GIW42" s="223"/>
      <c r="GIX42" s="223"/>
      <c r="GIY42" s="223"/>
      <c r="GIZ42" s="225"/>
      <c r="GJA42" s="220"/>
      <c r="GJB42" s="221"/>
      <c r="GJC42" s="222"/>
      <c r="GJD42" s="222"/>
      <c r="GJE42" s="223"/>
      <c r="GJF42" s="223"/>
      <c r="GJG42" s="224"/>
      <c r="GJH42" s="223"/>
      <c r="GJI42" s="223"/>
      <c r="GJJ42" s="223"/>
      <c r="GJK42" s="223"/>
      <c r="GJL42" s="225"/>
      <c r="GJM42" s="220"/>
      <c r="GJN42" s="221"/>
      <c r="GJO42" s="222"/>
      <c r="GJP42" s="222"/>
      <c r="GJQ42" s="223"/>
      <c r="GJR42" s="223"/>
      <c r="GJS42" s="224"/>
      <c r="GJT42" s="223"/>
      <c r="GJU42" s="223"/>
      <c r="GJV42" s="223"/>
      <c r="GJW42" s="223"/>
      <c r="GJX42" s="225"/>
      <c r="GJY42" s="220"/>
      <c r="GJZ42" s="221"/>
      <c r="GKA42" s="222"/>
      <c r="GKB42" s="222"/>
      <c r="GKC42" s="223"/>
      <c r="GKD42" s="223"/>
      <c r="GKE42" s="224"/>
      <c r="GKF42" s="223"/>
      <c r="GKG42" s="223"/>
      <c r="GKH42" s="223"/>
      <c r="GKI42" s="223"/>
      <c r="GKJ42" s="225"/>
      <c r="GKK42" s="220"/>
      <c r="GKL42" s="221"/>
      <c r="GKM42" s="222"/>
      <c r="GKN42" s="222"/>
      <c r="GKO42" s="223"/>
      <c r="GKP42" s="223"/>
      <c r="GKQ42" s="224"/>
      <c r="GKR42" s="223"/>
      <c r="GKS42" s="223"/>
      <c r="GKT42" s="223"/>
      <c r="GKU42" s="223"/>
      <c r="GKV42" s="225"/>
      <c r="GKW42" s="220"/>
      <c r="GKX42" s="221"/>
      <c r="GKY42" s="222"/>
      <c r="GKZ42" s="222"/>
      <c r="GLA42" s="223"/>
      <c r="GLB42" s="223"/>
      <c r="GLC42" s="224"/>
      <c r="GLD42" s="223"/>
      <c r="GLE42" s="223"/>
      <c r="GLF42" s="223"/>
      <c r="GLG42" s="223"/>
      <c r="GLH42" s="225"/>
      <c r="GLI42" s="220"/>
      <c r="GLJ42" s="221"/>
      <c r="GLK42" s="222"/>
      <c r="GLL42" s="222"/>
      <c r="GLM42" s="223"/>
      <c r="GLN42" s="223"/>
      <c r="GLO42" s="224"/>
      <c r="GLP42" s="223"/>
      <c r="GLQ42" s="223"/>
      <c r="GLR42" s="223"/>
      <c r="GLS42" s="223"/>
      <c r="GLT42" s="225"/>
      <c r="GLU42" s="220"/>
      <c r="GLV42" s="221"/>
      <c r="GLW42" s="222"/>
      <c r="GLX42" s="222"/>
      <c r="GLY42" s="223"/>
      <c r="GLZ42" s="223"/>
      <c r="GMA42" s="224"/>
      <c r="GMB42" s="223"/>
      <c r="GMC42" s="223"/>
      <c r="GMD42" s="223"/>
      <c r="GME42" s="223"/>
      <c r="GMF42" s="225"/>
      <c r="GMG42" s="220"/>
      <c r="GMH42" s="221"/>
      <c r="GMI42" s="222"/>
      <c r="GMJ42" s="222"/>
      <c r="GMK42" s="223"/>
      <c r="GML42" s="223"/>
      <c r="GMM42" s="224"/>
      <c r="GMN42" s="223"/>
      <c r="GMO42" s="223"/>
      <c r="GMP42" s="223"/>
      <c r="GMQ42" s="223"/>
      <c r="GMR42" s="225"/>
      <c r="GMS42" s="220"/>
      <c r="GMT42" s="221"/>
      <c r="GMU42" s="222"/>
      <c r="GMV42" s="222"/>
      <c r="GMW42" s="223"/>
      <c r="GMX42" s="223"/>
      <c r="GMY42" s="224"/>
      <c r="GMZ42" s="223"/>
      <c r="GNA42" s="223"/>
      <c r="GNB42" s="223"/>
      <c r="GNC42" s="223"/>
      <c r="GND42" s="225"/>
      <c r="GNE42" s="220"/>
      <c r="GNF42" s="221"/>
      <c r="GNG42" s="222"/>
      <c r="GNH42" s="222"/>
      <c r="GNI42" s="223"/>
      <c r="GNJ42" s="223"/>
      <c r="GNK42" s="224"/>
      <c r="GNL42" s="223"/>
      <c r="GNM42" s="223"/>
      <c r="GNN42" s="223"/>
      <c r="GNO42" s="223"/>
      <c r="GNP42" s="225"/>
      <c r="GNQ42" s="220"/>
      <c r="GNR42" s="221"/>
      <c r="GNS42" s="222"/>
      <c r="GNT42" s="222"/>
      <c r="GNU42" s="223"/>
      <c r="GNV42" s="223"/>
      <c r="GNW42" s="224"/>
      <c r="GNX42" s="223"/>
      <c r="GNY42" s="223"/>
      <c r="GNZ42" s="223"/>
      <c r="GOA42" s="223"/>
      <c r="GOB42" s="225"/>
      <c r="GOC42" s="220"/>
      <c r="GOD42" s="221"/>
      <c r="GOE42" s="222"/>
      <c r="GOF42" s="222"/>
      <c r="GOG42" s="223"/>
      <c r="GOH42" s="223"/>
      <c r="GOI42" s="224"/>
      <c r="GOJ42" s="223"/>
      <c r="GOK42" s="223"/>
      <c r="GOL42" s="223"/>
      <c r="GOM42" s="223"/>
      <c r="GON42" s="225"/>
      <c r="GOO42" s="220"/>
      <c r="GOP42" s="221"/>
      <c r="GOQ42" s="222"/>
      <c r="GOR42" s="222"/>
      <c r="GOS42" s="223"/>
      <c r="GOT42" s="223"/>
      <c r="GOU42" s="224"/>
      <c r="GOV42" s="223"/>
      <c r="GOW42" s="223"/>
      <c r="GOX42" s="223"/>
      <c r="GOY42" s="223"/>
      <c r="GOZ42" s="225"/>
      <c r="GPA42" s="220"/>
      <c r="GPB42" s="221"/>
      <c r="GPC42" s="222"/>
      <c r="GPD42" s="222"/>
      <c r="GPE42" s="223"/>
      <c r="GPF42" s="223"/>
      <c r="GPG42" s="224"/>
      <c r="GPH42" s="223"/>
      <c r="GPI42" s="223"/>
      <c r="GPJ42" s="223"/>
      <c r="GPK42" s="223"/>
      <c r="GPL42" s="225"/>
      <c r="GPM42" s="220"/>
      <c r="GPN42" s="221"/>
      <c r="GPO42" s="222"/>
      <c r="GPP42" s="222"/>
      <c r="GPQ42" s="223"/>
      <c r="GPR42" s="223"/>
      <c r="GPS42" s="224"/>
      <c r="GPT42" s="223"/>
      <c r="GPU42" s="223"/>
      <c r="GPV42" s="223"/>
      <c r="GPW42" s="223"/>
      <c r="GPX42" s="225"/>
      <c r="GPY42" s="220"/>
      <c r="GPZ42" s="221"/>
      <c r="GQA42" s="222"/>
      <c r="GQB42" s="222"/>
      <c r="GQC42" s="223"/>
      <c r="GQD42" s="223"/>
      <c r="GQE42" s="224"/>
      <c r="GQF42" s="223"/>
      <c r="GQG42" s="223"/>
      <c r="GQH42" s="223"/>
      <c r="GQI42" s="223"/>
      <c r="GQJ42" s="225"/>
      <c r="GQK42" s="220"/>
      <c r="GQL42" s="221"/>
      <c r="GQM42" s="222"/>
      <c r="GQN42" s="222"/>
      <c r="GQO42" s="223"/>
      <c r="GQP42" s="223"/>
      <c r="GQQ42" s="224"/>
      <c r="GQR42" s="223"/>
      <c r="GQS42" s="223"/>
      <c r="GQT42" s="223"/>
      <c r="GQU42" s="223"/>
      <c r="GQV42" s="225"/>
      <c r="GQW42" s="220"/>
      <c r="GQX42" s="221"/>
      <c r="GQY42" s="222"/>
      <c r="GQZ42" s="222"/>
      <c r="GRA42" s="223"/>
      <c r="GRB42" s="223"/>
      <c r="GRC42" s="224"/>
      <c r="GRD42" s="223"/>
      <c r="GRE42" s="223"/>
      <c r="GRF42" s="223"/>
      <c r="GRG42" s="223"/>
      <c r="GRH42" s="225"/>
      <c r="GRI42" s="220"/>
      <c r="GRJ42" s="221"/>
      <c r="GRK42" s="222"/>
      <c r="GRL42" s="222"/>
      <c r="GRM42" s="223"/>
      <c r="GRN42" s="223"/>
      <c r="GRO42" s="224"/>
      <c r="GRP42" s="223"/>
      <c r="GRQ42" s="223"/>
      <c r="GRR42" s="223"/>
      <c r="GRS42" s="223"/>
      <c r="GRT42" s="225"/>
      <c r="GRU42" s="220"/>
      <c r="GRV42" s="221"/>
      <c r="GRW42" s="222"/>
      <c r="GRX42" s="222"/>
      <c r="GRY42" s="223"/>
      <c r="GRZ42" s="223"/>
      <c r="GSA42" s="224"/>
      <c r="GSB42" s="223"/>
      <c r="GSC42" s="223"/>
      <c r="GSD42" s="223"/>
      <c r="GSE42" s="223"/>
      <c r="GSF42" s="225"/>
      <c r="GSG42" s="220"/>
      <c r="GSH42" s="221"/>
      <c r="GSI42" s="222"/>
      <c r="GSJ42" s="222"/>
      <c r="GSK42" s="223"/>
      <c r="GSL42" s="223"/>
      <c r="GSM42" s="224"/>
      <c r="GSN42" s="223"/>
      <c r="GSO42" s="223"/>
      <c r="GSP42" s="223"/>
      <c r="GSQ42" s="223"/>
      <c r="GSR42" s="225"/>
      <c r="GSS42" s="220"/>
      <c r="GST42" s="221"/>
      <c r="GSU42" s="222"/>
      <c r="GSV42" s="222"/>
      <c r="GSW42" s="223"/>
      <c r="GSX42" s="223"/>
      <c r="GSY42" s="224"/>
      <c r="GSZ42" s="223"/>
      <c r="GTA42" s="223"/>
      <c r="GTB42" s="223"/>
      <c r="GTC42" s="223"/>
      <c r="GTD42" s="225"/>
      <c r="GTE42" s="220"/>
      <c r="GTF42" s="221"/>
      <c r="GTG42" s="222"/>
      <c r="GTH42" s="222"/>
      <c r="GTI42" s="223"/>
      <c r="GTJ42" s="223"/>
      <c r="GTK42" s="224"/>
      <c r="GTL42" s="223"/>
      <c r="GTM42" s="223"/>
      <c r="GTN42" s="223"/>
      <c r="GTO42" s="223"/>
      <c r="GTP42" s="225"/>
      <c r="GTQ42" s="220"/>
      <c r="GTR42" s="221"/>
      <c r="GTS42" s="222"/>
      <c r="GTT42" s="222"/>
      <c r="GTU42" s="223"/>
      <c r="GTV42" s="223"/>
      <c r="GTW42" s="224"/>
      <c r="GTX42" s="223"/>
      <c r="GTY42" s="223"/>
      <c r="GTZ42" s="223"/>
      <c r="GUA42" s="223"/>
      <c r="GUB42" s="225"/>
      <c r="GUC42" s="220"/>
      <c r="GUD42" s="221"/>
      <c r="GUE42" s="222"/>
      <c r="GUF42" s="222"/>
      <c r="GUG42" s="223"/>
      <c r="GUH42" s="223"/>
      <c r="GUI42" s="224"/>
      <c r="GUJ42" s="223"/>
      <c r="GUK42" s="223"/>
      <c r="GUL42" s="223"/>
      <c r="GUM42" s="223"/>
      <c r="GUN42" s="225"/>
      <c r="GUO42" s="220"/>
      <c r="GUP42" s="221"/>
      <c r="GUQ42" s="222"/>
      <c r="GUR42" s="222"/>
      <c r="GUS42" s="223"/>
      <c r="GUT42" s="223"/>
      <c r="GUU42" s="224"/>
      <c r="GUV42" s="223"/>
      <c r="GUW42" s="223"/>
      <c r="GUX42" s="223"/>
      <c r="GUY42" s="223"/>
      <c r="GUZ42" s="225"/>
      <c r="GVA42" s="220"/>
      <c r="GVB42" s="221"/>
      <c r="GVC42" s="222"/>
      <c r="GVD42" s="222"/>
      <c r="GVE42" s="223"/>
      <c r="GVF42" s="223"/>
      <c r="GVG42" s="224"/>
      <c r="GVH42" s="223"/>
      <c r="GVI42" s="223"/>
      <c r="GVJ42" s="223"/>
      <c r="GVK42" s="223"/>
      <c r="GVL42" s="225"/>
      <c r="GVM42" s="220"/>
      <c r="GVN42" s="221"/>
      <c r="GVO42" s="222"/>
      <c r="GVP42" s="222"/>
      <c r="GVQ42" s="223"/>
      <c r="GVR42" s="223"/>
      <c r="GVS42" s="224"/>
      <c r="GVT42" s="223"/>
      <c r="GVU42" s="223"/>
      <c r="GVV42" s="223"/>
      <c r="GVW42" s="223"/>
      <c r="GVX42" s="225"/>
      <c r="GVY42" s="220"/>
      <c r="GVZ42" s="221"/>
      <c r="GWA42" s="222"/>
      <c r="GWB42" s="222"/>
      <c r="GWC42" s="223"/>
      <c r="GWD42" s="223"/>
      <c r="GWE42" s="224"/>
      <c r="GWF42" s="223"/>
      <c r="GWG42" s="223"/>
      <c r="GWH42" s="223"/>
      <c r="GWI42" s="223"/>
      <c r="GWJ42" s="225"/>
      <c r="GWK42" s="220"/>
      <c r="GWL42" s="221"/>
      <c r="GWM42" s="222"/>
      <c r="GWN42" s="222"/>
      <c r="GWO42" s="223"/>
      <c r="GWP42" s="223"/>
      <c r="GWQ42" s="224"/>
      <c r="GWR42" s="223"/>
      <c r="GWS42" s="223"/>
      <c r="GWT42" s="223"/>
      <c r="GWU42" s="223"/>
      <c r="GWV42" s="225"/>
      <c r="GWW42" s="220"/>
      <c r="GWX42" s="221"/>
      <c r="GWY42" s="222"/>
      <c r="GWZ42" s="222"/>
      <c r="GXA42" s="223"/>
      <c r="GXB42" s="223"/>
      <c r="GXC42" s="224"/>
      <c r="GXD42" s="223"/>
      <c r="GXE42" s="223"/>
      <c r="GXF42" s="223"/>
      <c r="GXG42" s="223"/>
      <c r="GXH42" s="225"/>
      <c r="GXI42" s="220"/>
      <c r="GXJ42" s="221"/>
      <c r="GXK42" s="222"/>
      <c r="GXL42" s="222"/>
      <c r="GXM42" s="223"/>
      <c r="GXN42" s="223"/>
      <c r="GXO42" s="224"/>
      <c r="GXP42" s="223"/>
      <c r="GXQ42" s="223"/>
      <c r="GXR42" s="223"/>
      <c r="GXS42" s="223"/>
      <c r="GXT42" s="225"/>
      <c r="GXU42" s="220"/>
      <c r="GXV42" s="221"/>
      <c r="GXW42" s="222"/>
      <c r="GXX42" s="222"/>
      <c r="GXY42" s="223"/>
      <c r="GXZ42" s="223"/>
      <c r="GYA42" s="224"/>
      <c r="GYB42" s="223"/>
      <c r="GYC42" s="223"/>
      <c r="GYD42" s="223"/>
      <c r="GYE42" s="223"/>
      <c r="GYF42" s="225"/>
      <c r="GYG42" s="220"/>
      <c r="GYH42" s="221"/>
      <c r="GYI42" s="222"/>
      <c r="GYJ42" s="222"/>
      <c r="GYK42" s="223"/>
      <c r="GYL42" s="223"/>
      <c r="GYM42" s="224"/>
      <c r="GYN42" s="223"/>
      <c r="GYO42" s="223"/>
      <c r="GYP42" s="223"/>
      <c r="GYQ42" s="223"/>
      <c r="GYR42" s="225"/>
      <c r="GYS42" s="220"/>
      <c r="GYT42" s="221"/>
      <c r="GYU42" s="222"/>
      <c r="GYV42" s="222"/>
      <c r="GYW42" s="223"/>
      <c r="GYX42" s="223"/>
      <c r="GYY42" s="224"/>
      <c r="GYZ42" s="223"/>
      <c r="GZA42" s="223"/>
      <c r="GZB42" s="223"/>
      <c r="GZC42" s="223"/>
      <c r="GZD42" s="225"/>
      <c r="GZE42" s="220"/>
      <c r="GZF42" s="221"/>
      <c r="GZG42" s="222"/>
      <c r="GZH42" s="222"/>
      <c r="GZI42" s="223"/>
      <c r="GZJ42" s="223"/>
      <c r="GZK42" s="224"/>
      <c r="GZL42" s="223"/>
      <c r="GZM42" s="223"/>
      <c r="GZN42" s="223"/>
      <c r="GZO42" s="223"/>
      <c r="GZP42" s="225"/>
      <c r="GZQ42" s="220"/>
      <c r="GZR42" s="221"/>
      <c r="GZS42" s="222"/>
      <c r="GZT42" s="222"/>
      <c r="GZU42" s="223"/>
      <c r="GZV42" s="223"/>
      <c r="GZW42" s="224"/>
      <c r="GZX42" s="223"/>
      <c r="GZY42" s="223"/>
      <c r="GZZ42" s="223"/>
      <c r="HAA42" s="223"/>
      <c r="HAB42" s="225"/>
      <c r="HAC42" s="220"/>
      <c r="HAD42" s="221"/>
      <c r="HAE42" s="222"/>
      <c r="HAF42" s="222"/>
      <c r="HAG42" s="223"/>
      <c r="HAH42" s="223"/>
      <c r="HAI42" s="224"/>
      <c r="HAJ42" s="223"/>
      <c r="HAK42" s="223"/>
      <c r="HAL42" s="223"/>
      <c r="HAM42" s="223"/>
      <c r="HAN42" s="225"/>
      <c r="HAO42" s="220"/>
      <c r="HAP42" s="221"/>
      <c r="HAQ42" s="222"/>
      <c r="HAR42" s="222"/>
      <c r="HAS42" s="223"/>
      <c r="HAT42" s="223"/>
      <c r="HAU42" s="224"/>
      <c r="HAV42" s="223"/>
      <c r="HAW42" s="223"/>
      <c r="HAX42" s="223"/>
      <c r="HAY42" s="223"/>
      <c r="HAZ42" s="225"/>
      <c r="HBA42" s="220"/>
      <c r="HBB42" s="221"/>
      <c r="HBC42" s="222"/>
      <c r="HBD42" s="222"/>
      <c r="HBE42" s="223"/>
      <c r="HBF42" s="223"/>
      <c r="HBG42" s="224"/>
      <c r="HBH42" s="223"/>
      <c r="HBI42" s="223"/>
      <c r="HBJ42" s="223"/>
      <c r="HBK42" s="223"/>
      <c r="HBL42" s="225"/>
      <c r="HBM42" s="220"/>
      <c r="HBN42" s="221"/>
      <c r="HBO42" s="222"/>
      <c r="HBP42" s="222"/>
      <c r="HBQ42" s="223"/>
      <c r="HBR42" s="223"/>
      <c r="HBS42" s="224"/>
      <c r="HBT42" s="223"/>
      <c r="HBU42" s="223"/>
      <c r="HBV42" s="223"/>
      <c r="HBW42" s="223"/>
      <c r="HBX42" s="225"/>
      <c r="HBY42" s="220"/>
      <c r="HBZ42" s="221"/>
      <c r="HCA42" s="222"/>
      <c r="HCB42" s="222"/>
      <c r="HCC42" s="223"/>
      <c r="HCD42" s="223"/>
      <c r="HCE42" s="224"/>
      <c r="HCF42" s="223"/>
      <c r="HCG42" s="223"/>
      <c r="HCH42" s="223"/>
      <c r="HCI42" s="223"/>
      <c r="HCJ42" s="225"/>
      <c r="HCK42" s="220"/>
      <c r="HCL42" s="221"/>
      <c r="HCM42" s="222"/>
      <c r="HCN42" s="222"/>
      <c r="HCO42" s="223"/>
      <c r="HCP42" s="223"/>
      <c r="HCQ42" s="224"/>
      <c r="HCR42" s="223"/>
      <c r="HCS42" s="223"/>
      <c r="HCT42" s="223"/>
      <c r="HCU42" s="223"/>
      <c r="HCV42" s="225"/>
      <c r="HCW42" s="220"/>
      <c r="HCX42" s="221"/>
      <c r="HCY42" s="222"/>
      <c r="HCZ42" s="222"/>
      <c r="HDA42" s="223"/>
      <c r="HDB42" s="223"/>
      <c r="HDC42" s="224"/>
      <c r="HDD42" s="223"/>
      <c r="HDE42" s="223"/>
      <c r="HDF42" s="223"/>
      <c r="HDG42" s="223"/>
      <c r="HDH42" s="225"/>
      <c r="HDI42" s="220"/>
      <c r="HDJ42" s="221"/>
      <c r="HDK42" s="222"/>
      <c r="HDL42" s="222"/>
      <c r="HDM42" s="223"/>
      <c r="HDN42" s="223"/>
      <c r="HDO42" s="224"/>
      <c r="HDP42" s="223"/>
      <c r="HDQ42" s="223"/>
      <c r="HDR42" s="223"/>
      <c r="HDS42" s="223"/>
      <c r="HDT42" s="225"/>
      <c r="HDU42" s="220"/>
      <c r="HDV42" s="221"/>
      <c r="HDW42" s="222"/>
      <c r="HDX42" s="222"/>
      <c r="HDY42" s="223"/>
      <c r="HDZ42" s="223"/>
      <c r="HEA42" s="224"/>
      <c r="HEB42" s="223"/>
      <c r="HEC42" s="223"/>
      <c r="HED42" s="223"/>
      <c r="HEE42" s="223"/>
      <c r="HEF42" s="225"/>
      <c r="HEG42" s="220"/>
      <c r="HEH42" s="221"/>
      <c r="HEI42" s="222"/>
      <c r="HEJ42" s="222"/>
      <c r="HEK42" s="223"/>
      <c r="HEL42" s="223"/>
      <c r="HEM42" s="224"/>
      <c r="HEN42" s="223"/>
      <c r="HEO42" s="223"/>
      <c r="HEP42" s="223"/>
      <c r="HEQ42" s="223"/>
      <c r="HER42" s="225"/>
      <c r="HES42" s="220"/>
      <c r="HET42" s="221"/>
      <c r="HEU42" s="222"/>
      <c r="HEV42" s="222"/>
      <c r="HEW42" s="223"/>
      <c r="HEX42" s="223"/>
      <c r="HEY42" s="224"/>
      <c r="HEZ42" s="223"/>
      <c r="HFA42" s="223"/>
      <c r="HFB42" s="223"/>
      <c r="HFC42" s="223"/>
      <c r="HFD42" s="225"/>
      <c r="HFE42" s="220"/>
      <c r="HFF42" s="221"/>
      <c r="HFG42" s="222"/>
      <c r="HFH42" s="222"/>
      <c r="HFI42" s="223"/>
      <c r="HFJ42" s="223"/>
      <c r="HFK42" s="224"/>
      <c r="HFL42" s="223"/>
      <c r="HFM42" s="223"/>
      <c r="HFN42" s="223"/>
      <c r="HFO42" s="223"/>
      <c r="HFP42" s="225"/>
      <c r="HFQ42" s="220"/>
      <c r="HFR42" s="221"/>
      <c r="HFS42" s="222"/>
      <c r="HFT42" s="222"/>
      <c r="HFU42" s="223"/>
      <c r="HFV42" s="223"/>
      <c r="HFW42" s="224"/>
      <c r="HFX42" s="223"/>
      <c r="HFY42" s="223"/>
      <c r="HFZ42" s="223"/>
      <c r="HGA42" s="223"/>
      <c r="HGB42" s="225"/>
      <c r="HGC42" s="220"/>
      <c r="HGD42" s="221"/>
      <c r="HGE42" s="222"/>
      <c r="HGF42" s="222"/>
      <c r="HGG42" s="223"/>
      <c r="HGH42" s="223"/>
      <c r="HGI42" s="224"/>
      <c r="HGJ42" s="223"/>
      <c r="HGK42" s="223"/>
      <c r="HGL42" s="223"/>
      <c r="HGM42" s="223"/>
      <c r="HGN42" s="225"/>
      <c r="HGO42" s="220"/>
      <c r="HGP42" s="221"/>
      <c r="HGQ42" s="222"/>
      <c r="HGR42" s="222"/>
      <c r="HGS42" s="223"/>
      <c r="HGT42" s="223"/>
      <c r="HGU42" s="224"/>
      <c r="HGV42" s="223"/>
      <c r="HGW42" s="223"/>
      <c r="HGX42" s="223"/>
      <c r="HGY42" s="223"/>
      <c r="HGZ42" s="225"/>
      <c r="HHA42" s="220"/>
      <c r="HHB42" s="221"/>
      <c r="HHC42" s="222"/>
      <c r="HHD42" s="222"/>
      <c r="HHE42" s="223"/>
      <c r="HHF42" s="223"/>
      <c r="HHG42" s="224"/>
      <c r="HHH42" s="223"/>
      <c r="HHI42" s="223"/>
      <c r="HHJ42" s="223"/>
      <c r="HHK42" s="223"/>
      <c r="HHL42" s="225"/>
      <c r="HHM42" s="220"/>
      <c r="HHN42" s="221"/>
      <c r="HHO42" s="222"/>
      <c r="HHP42" s="222"/>
      <c r="HHQ42" s="223"/>
      <c r="HHR42" s="223"/>
      <c r="HHS42" s="224"/>
      <c r="HHT42" s="223"/>
      <c r="HHU42" s="223"/>
      <c r="HHV42" s="223"/>
      <c r="HHW42" s="223"/>
      <c r="HHX42" s="225"/>
      <c r="HHY42" s="220"/>
      <c r="HHZ42" s="221"/>
      <c r="HIA42" s="222"/>
      <c r="HIB42" s="222"/>
      <c r="HIC42" s="223"/>
      <c r="HID42" s="223"/>
      <c r="HIE42" s="224"/>
      <c r="HIF42" s="223"/>
      <c r="HIG42" s="223"/>
      <c r="HIH42" s="223"/>
      <c r="HII42" s="223"/>
      <c r="HIJ42" s="225"/>
      <c r="HIK42" s="220"/>
      <c r="HIL42" s="221"/>
      <c r="HIM42" s="222"/>
      <c r="HIN42" s="222"/>
      <c r="HIO42" s="223"/>
      <c r="HIP42" s="223"/>
      <c r="HIQ42" s="224"/>
      <c r="HIR42" s="223"/>
      <c r="HIS42" s="223"/>
      <c r="HIT42" s="223"/>
      <c r="HIU42" s="223"/>
      <c r="HIV42" s="225"/>
      <c r="HIW42" s="220"/>
      <c r="HIX42" s="221"/>
      <c r="HIY42" s="222"/>
      <c r="HIZ42" s="222"/>
      <c r="HJA42" s="223"/>
      <c r="HJB42" s="223"/>
      <c r="HJC42" s="224"/>
      <c r="HJD42" s="223"/>
      <c r="HJE42" s="223"/>
      <c r="HJF42" s="223"/>
      <c r="HJG42" s="223"/>
      <c r="HJH42" s="225"/>
      <c r="HJI42" s="220"/>
      <c r="HJJ42" s="221"/>
      <c r="HJK42" s="222"/>
      <c r="HJL42" s="222"/>
      <c r="HJM42" s="223"/>
      <c r="HJN42" s="223"/>
      <c r="HJO42" s="224"/>
      <c r="HJP42" s="223"/>
      <c r="HJQ42" s="223"/>
      <c r="HJR42" s="223"/>
      <c r="HJS42" s="223"/>
      <c r="HJT42" s="225"/>
      <c r="HJU42" s="220"/>
      <c r="HJV42" s="221"/>
      <c r="HJW42" s="222"/>
      <c r="HJX42" s="222"/>
      <c r="HJY42" s="223"/>
      <c r="HJZ42" s="223"/>
      <c r="HKA42" s="224"/>
      <c r="HKB42" s="223"/>
      <c r="HKC42" s="223"/>
      <c r="HKD42" s="223"/>
      <c r="HKE42" s="223"/>
      <c r="HKF42" s="225"/>
      <c r="HKG42" s="220"/>
      <c r="HKH42" s="221"/>
      <c r="HKI42" s="222"/>
      <c r="HKJ42" s="222"/>
      <c r="HKK42" s="223"/>
      <c r="HKL42" s="223"/>
      <c r="HKM42" s="224"/>
      <c r="HKN42" s="223"/>
      <c r="HKO42" s="223"/>
      <c r="HKP42" s="223"/>
      <c r="HKQ42" s="223"/>
      <c r="HKR42" s="225"/>
      <c r="HKS42" s="220"/>
      <c r="HKT42" s="221"/>
      <c r="HKU42" s="222"/>
      <c r="HKV42" s="222"/>
      <c r="HKW42" s="223"/>
      <c r="HKX42" s="223"/>
      <c r="HKY42" s="224"/>
      <c r="HKZ42" s="223"/>
      <c r="HLA42" s="223"/>
      <c r="HLB42" s="223"/>
      <c r="HLC42" s="223"/>
      <c r="HLD42" s="225"/>
      <c r="HLE42" s="220"/>
      <c r="HLF42" s="221"/>
      <c r="HLG42" s="222"/>
      <c r="HLH42" s="222"/>
      <c r="HLI42" s="223"/>
      <c r="HLJ42" s="223"/>
      <c r="HLK42" s="224"/>
      <c r="HLL42" s="223"/>
      <c r="HLM42" s="223"/>
      <c r="HLN42" s="223"/>
      <c r="HLO42" s="223"/>
      <c r="HLP42" s="225"/>
      <c r="HLQ42" s="220"/>
      <c r="HLR42" s="221"/>
      <c r="HLS42" s="222"/>
      <c r="HLT42" s="222"/>
      <c r="HLU42" s="223"/>
      <c r="HLV42" s="223"/>
      <c r="HLW42" s="224"/>
      <c r="HLX42" s="223"/>
      <c r="HLY42" s="223"/>
      <c r="HLZ42" s="223"/>
      <c r="HMA42" s="223"/>
      <c r="HMB42" s="225"/>
      <c r="HMC42" s="220"/>
      <c r="HMD42" s="221"/>
      <c r="HME42" s="222"/>
      <c r="HMF42" s="222"/>
      <c r="HMG42" s="223"/>
      <c r="HMH42" s="223"/>
      <c r="HMI42" s="224"/>
      <c r="HMJ42" s="223"/>
      <c r="HMK42" s="223"/>
      <c r="HML42" s="223"/>
      <c r="HMM42" s="223"/>
      <c r="HMN42" s="225"/>
      <c r="HMO42" s="220"/>
      <c r="HMP42" s="221"/>
      <c r="HMQ42" s="222"/>
      <c r="HMR42" s="222"/>
      <c r="HMS42" s="223"/>
      <c r="HMT42" s="223"/>
      <c r="HMU42" s="224"/>
      <c r="HMV42" s="223"/>
      <c r="HMW42" s="223"/>
      <c r="HMX42" s="223"/>
      <c r="HMY42" s="223"/>
      <c r="HMZ42" s="225"/>
      <c r="HNA42" s="220"/>
      <c r="HNB42" s="221"/>
      <c r="HNC42" s="222"/>
      <c r="HND42" s="222"/>
      <c r="HNE42" s="223"/>
      <c r="HNF42" s="223"/>
      <c r="HNG42" s="224"/>
      <c r="HNH42" s="223"/>
      <c r="HNI42" s="223"/>
      <c r="HNJ42" s="223"/>
      <c r="HNK42" s="223"/>
      <c r="HNL42" s="225"/>
      <c r="HNM42" s="220"/>
      <c r="HNN42" s="221"/>
      <c r="HNO42" s="222"/>
      <c r="HNP42" s="222"/>
      <c r="HNQ42" s="223"/>
      <c r="HNR42" s="223"/>
      <c r="HNS42" s="224"/>
      <c r="HNT42" s="223"/>
      <c r="HNU42" s="223"/>
      <c r="HNV42" s="223"/>
      <c r="HNW42" s="223"/>
      <c r="HNX42" s="225"/>
      <c r="HNY42" s="220"/>
      <c r="HNZ42" s="221"/>
      <c r="HOA42" s="222"/>
      <c r="HOB42" s="222"/>
      <c r="HOC42" s="223"/>
      <c r="HOD42" s="223"/>
      <c r="HOE42" s="224"/>
      <c r="HOF42" s="223"/>
      <c r="HOG42" s="223"/>
      <c r="HOH42" s="223"/>
      <c r="HOI42" s="223"/>
      <c r="HOJ42" s="225"/>
      <c r="HOK42" s="220"/>
      <c r="HOL42" s="221"/>
      <c r="HOM42" s="222"/>
      <c r="HON42" s="222"/>
      <c r="HOO42" s="223"/>
      <c r="HOP42" s="223"/>
      <c r="HOQ42" s="224"/>
      <c r="HOR42" s="223"/>
      <c r="HOS42" s="223"/>
      <c r="HOT42" s="223"/>
      <c r="HOU42" s="223"/>
      <c r="HOV42" s="225"/>
      <c r="HOW42" s="220"/>
      <c r="HOX42" s="221"/>
      <c r="HOY42" s="222"/>
      <c r="HOZ42" s="222"/>
      <c r="HPA42" s="223"/>
      <c r="HPB42" s="223"/>
      <c r="HPC42" s="224"/>
      <c r="HPD42" s="223"/>
      <c r="HPE42" s="223"/>
      <c r="HPF42" s="223"/>
      <c r="HPG42" s="223"/>
      <c r="HPH42" s="225"/>
      <c r="HPI42" s="220"/>
      <c r="HPJ42" s="221"/>
      <c r="HPK42" s="222"/>
      <c r="HPL42" s="222"/>
      <c r="HPM42" s="223"/>
      <c r="HPN42" s="223"/>
      <c r="HPO42" s="224"/>
      <c r="HPP42" s="223"/>
      <c r="HPQ42" s="223"/>
      <c r="HPR42" s="223"/>
      <c r="HPS42" s="223"/>
      <c r="HPT42" s="225"/>
      <c r="HPU42" s="220"/>
      <c r="HPV42" s="221"/>
      <c r="HPW42" s="222"/>
      <c r="HPX42" s="222"/>
      <c r="HPY42" s="223"/>
      <c r="HPZ42" s="223"/>
      <c r="HQA42" s="224"/>
      <c r="HQB42" s="223"/>
      <c r="HQC42" s="223"/>
      <c r="HQD42" s="223"/>
      <c r="HQE42" s="223"/>
      <c r="HQF42" s="225"/>
      <c r="HQG42" s="220"/>
      <c r="HQH42" s="221"/>
      <c r="HQI42" s="222"/>
      <c r="HQJ42" s="222"/>
      <c r="HQK42" s="223"/>
      <c r="HQL42" s="223"/>
      <c r="HQM42" s="224"/>
      <c r="HQN42" s="223"/>
      <c r="HQO42" s="223"/>
      <c r="HQP42" s="223"/>
      <c r="HQQ42" s="223"/>
      <c r="HQR42" s="225"/>
      <c r="HQS42" s="220"/>
      <c r="HQT42" s="221"/>
      <c r="HQU42" s="222"/>
      <c r="HQV42" s="222"/>
      <c r="HQW42" s="223"/>
      <c r="HQX42" s="223"/>
      <c r="HQY42" s="224"/>
      <c r="HQZ42" s="223"/>
      <c r="HRA42" s="223"/>
      <c r="HRB42" s="223"/>
      <c r="HRC42" s="223"/>
      <c r="HRD42" s="225"/>
      <c r="HRE42" s="220"/>
      <c r="HRF42" s="221"/>
      <c r="HRG42" s="222"/>
      <c r="HRH42" s="222"/>
      <c r="HRI42" s="223"/>
      <c r="HRJ42" s="223"/>
      <c r="HRK42" s="224"/>
      <c r="HRL42" s="223"/>
      <c r="HRM42" s="223"/>
      <c r="HRN42" s="223"/>
      <c r="HRO42" s="223"/>
      <c r="HRP42" s="225"/>
      <c r="HRQ42" s="220"/>
      <c r="HRR42" s="221"/>
      <c r="HRS42" s="222"/>
      <c r="HRT42" s="222"/>
      <c r="HRU42" s="223"/>
      <c r="HRV42" s="223"/>
      <c r="HRW42" s="224"/>
      <c r="HRX42" s="223"/>
      <c r="HRY42" s="223"/>
      <c r="HRZ42" s="223"/>
      <c r="HSA42" s="223"/>
      <c r="HSB42" s="225"/>
      <c r="HSC42" s="220"/>
      <c r="HSD42" s="221"/>
      <c r="HSE42" s="222"/>
      <c r="HSF42" s="222"/>
      <c r="HSG42" s="223"/>
      <c r="HSH42" s="223"/>
      <c r="HSI42" s="224"/>
      <c r="HSJ42" s="223"/>
      <c r="HSK42" s="223"/>
      <c r="HSL42" s="223"/>
      <c r="HSM42" s="223"/>
      <c r="HSN42" s="225"/>
      <c r="HSO42" s="220"/>
      <c r="HSP42" s="221"/>
      <c r="HSQ42" s="222"/>
      <c r="HSR42" s="222"/>
      <c r="HSS42" s="223"/>
      <c r="HST42" s="223"/>
      <c r="HSU42" s="224"/>
      <c r="HSV42" s="223"/>
      <c r="HSW42" s="223"/>
      <c r="HSX42" s="223"/>
      <c r="HSY42" s="223"/>
      <c r="HSZ42" s="225"/>
      <c r="HTA42" s="220"/>
      <c r="HTB42" s="221"/>
      <c r="HTC42" s="222"/>
      <c r="HTD42" s="222"/>
      <c r="HTE42" s="223"/>
      <c r="HTF42" s="223"/>
      <c r="HTG42" s="224"/>
      <c r="HTH42" s="223"/>
      <c r="HTI42" s="223"/>
      <c r="HTJ42" s="223"/>
      <c r="HTK42" s="223"/>
      <c r="HTL42" s="225"/>
      <c r="HTM42" s="220"/>
      <c r="HTN42" s="221"/>
      <c r="HTO42" s="222"/>
      <c r="HTP42" s="222"/>
      <c r="HTQ42" s="223"/>
      <c r="HTR42" s="223"/>
      <c r="HTS42" s="224"/>
      <c r="HTT42" s="223"/>
      <c r="HTU42" s="223"/>
      <c r="HTV42" s="223"/>
      <c r="HTW42" s="223"/>
      <c r="HTX42" s="225"/>
      <c r="HTY42" s="220"/>
      <c r="HTZ42" s="221"/>
      <c r="HUA42" s="222"/>
      <c r="HUB42" s="222"/>
      <c r="HUC42" s="223"/>
      <c r="HUD42" s="223"/>
      <c r="HUE42" s="224"/>
      <c r="HUF42" s="223"/>
      <c r="HUG42" s="223"/>
      <c r="HUH42" s="223"/>
      <c r="HUI42" s="223"/>
      <c r="HUJ42" s="225"/>
      <c r="HUK42" s="220"/>
      <c r="HUL42" s="221"/>
      <c r="HUM42" s="222"/>
      <c r="HUN42" s="222"/>
      <c r="HUO42" s="223"/>
      <c r="HUP42" s="223"/>
      <c r="HUQ42" s="224"/>
      <c r="HUR42" s="223"/>
      <c r="HUS42" s="223"/>
      <c r="HUT42" s="223"/>
      <c r="HUU42" s="223"/>
      <c r="HUV42" s="225"/>
      <c r="HUW42" s="220"/>
      <c r="HUX42" s="221"/>
      <c r="HUY42" s="222"/>
      <c r="HUZ42" s="222"/>
      <c r="HVA42" s="223"/>
      <c r="HVB42" s="223"/>
      <c r="HVC42" s="224"/>
      <c r="HVD42" s="223"/>
      <c r="HVE42" s="223"/>
      <c r="HVF42" s="223"/>
      <c r="HVG42" s="223"/>
      <c r="HVH42" s="225"/>
      <c r="HVI42" s="220"/>
      <c r="HVJ42" s="221"/>
      <c r="HVK42" s="222"/>
      <c r="HVL42" s="222"/>
      <c r="HVM42" s="223"/>
      <c r="HVN42" s="223"/>
      <c r="HVO42" s="224"/>
      <c r="HVP42" s="223"/>
      <c r="HVQ42" s="223"/>
      <c r="HVR42" s="223"/>
      <c r="HVS42" s="223"/>
      <c r="HVT42" s="225"/>
      <c r="HVU42" s="220"/>
      <c r="HVV42" s="221"/>
      <c r="HVW42" s="222"/>
      <c r="HVX42" s="222"/>
      <c r="HVY42" s="223"/>
      <c r="HVZ42" s="223"/>
      <c r="HWA42" s="224"/>
      <c r="HWB42" s="223"/>
      <c r="HWC42" s="223"/>
      <c r="HWD42" s="223"/>
      <c r="HWE42" s="223"/>
      <c r="HWF42" s="225"/>
      <c r="HWG42" s="220"/>
      <c r="HWH42" s="221"/>
      <c r="HWI42" s="222"/>
      <c r="HWJ42" s="222"/>
      <c r="HWK42" s="223"/>
      <c r="HWL42" s="223"/>
      <c r="HWM42" s="224"/>
      <c r="HWN42" s="223"/>
      <c r="HWO42" s="223"/>
      <c r="HWP42" s="223"/>
      <c r="HWQ42" s="223"/>
      <c r="HWR42" s="225"/>
      <c r="HWS42" s="220"/>
      <c r="HWT42" s="221"/>
      <c r="HWU42" s="222"/>
      <c r="HWV42" s="222"/>
      <c r="HWW42" s="223"/>
      <c r="HWX42" s="223"/>
      <c r="HWY42" s="224"/>
      <c r="HWZ42" s="223"/>
      <c r="HXA42" s="223"/>
      <c r="HXB42" s="223"/>
      <c r="HXC42" s="223"/>
      <c r="HXD42" s="225"/>
      <c r="HXE42" s="220"/>
      <c r="HXF42" s="221"/>
      <c r="HXG42" s="222"/>
      <c r="HXH42" s="222"/>
      <c r="HXI42" s="223"/>
      <c r="HXJ42" s="223"/>
      <c r="HXK42" s="224"/>
      <c r="HXL42" s="223"/>
      <c r="HXM42" s="223"/>
      <c r="HXN42" s="223"/>
      <c r="HXO42" s="223"/>
      <c r="HXP42" s="225"/>
      <c r="HXQ42" s="220"/>
      <c r="HXR42" s="221"/>
      <c r="HXS42" s="222"/>
      <c r="HXT42" s="222"/>
      <c r="HXU42" s="223"/>
      <c r="HXV42" s="223"/>
      <c r="HXW42" s="224"/>
      <c r="HXX42" s="223"/>
      <c r="HXY42" s="223"/>
      <c r="HXZ42" s="223"/>
      <c r="HYA42" s="223"/>
      <c r="HYB42" s="225"/>
      <c r="HYC42" s="220"/>
      <c r="HYD42" s="221"/>
      <c r="HYE42" s="222"/>
      <c r="HYF42" s="222"/>
      <c r="HYG42" s="223"/>
      <c r="HYH42" s="223"/>
      <c r="HYI42" s="224"/>
      <c r="HYJ42" s="223"/>
      <c r="HYK42" s="223"/>
      <c r="HYL42" s="223"/>
      <c r="HYM42" s="223"/>
      <c r="HYN42" s="225"/>
      <c r="HYO42" s="220"/>
      <c r="HYP42" s="221"/>
      <c r="HYQ42" s="222"/>
      <c r="HYR42" s="222"/>
      <c r="HYS42" s="223"/>
      <c r="HYT42" s="223"/>
      <c r="HYU42" s="224"/>
      <c r="HYV42" s="223"/>
      <c r="HYW42" s="223"/>
      <c r="HYX42" s="223"/>
      <c r="HYY42" s="223"/>
      <c r="HYZ42" s="225"/>
      <c r="HZA42" s="220"/>
      <c r="HZB42" s="221"/>
      <c r="HZC42" s="222"/>
      <c r="HZD42" s="222"/>
      <c r="HZE42" s="223"/>
      <c r="HZF42" s="223"/>
      <c r="HZG42" s="224"/>
      <c r="HZH42" s="223"/>
      <c r="HZI42" s="223"/>
      <c r="HZJ42" s="223"/>
      <c r="HZK42" s="223"/>
      <c r="HZL42" s="225"/>
      <c r="HZM42" s="220"/>
      <c r="HZN42" s="221"/>
      <c r="HZO42" s="222"/>
      <c r="HZP42" s="222"/>
      <c r="HZQ42" s="223"/>
      <c r="HZR42" s="223"/>
      <c r="HZS42" s="224"/>
      <c r="HZT42" s="223"/>
      <c r="HZU42" s="223"/>
      <c r="HZV42" s="223"/>
      <c r="HZW42" s="223"/>
      <c r="HZX42" s="225"/>
      <c r="HZY42" s="220"/>
      <c r="HZZ42" s="221"/>
      <c r="IAA42" s="222"/>
      <c r="IAB42" s="222"/>
      <c r="IAC42" s="223"/>
      <c r="IAD42" s="223"/>
      <c r="IAE42" s="224"/>
      <c r="IAF42" s="223"/>
      <c r="IAG42" s="223"/>
      <c r="IAH42" s="223"/>
      <c r="IAI42" s="223"/>
      <c r="IAJ42" s="225"/>
      <c r="IAK42" s="220"/>
      <c r="IAL42" s="221"/>
      <c r="IAM42" s="222"/>
      <c r="IAN42" s="222"/>
      <c r="IAO42" s="223"/>
      <c r="IAP42" s="223"/>
      <c r="IAQ42" s="224"/>
      <c r="IAR42" s="223"/>
      <c r="IAS42" s="223"/>
      <c r="IAT42" s="223"/>
      <c r="IAU42" s="223"/>
      <c r="IAV42" s="225"/>
      <c r="IAW42" s="220"/>
      <c r="IAX42" s="221"/>
      <c r="IAY42" s="222"/>
      <c r="IAZ42" s="222"/>
      <c r="IBA42" s="223"/>
      <c r="IBB42" s="223"/>
      <c r="IBC42" s="224"/>
      <c r="IBD42" s="223"/>
      <c r="IBE42" s="223"/>
      <c r="IBF42" s="223"/>
      <c r="IBG42" s="223"/>
      <c r="IBH42" s="225"/>
      <c r="IBI42" s="220"/>
      <c r="IBJ42" s="221"/>
      <c r="IBK42" s="222"/>
      <c r="IBL42" s="222"/>
      <c r="IBM42" s="223"/>
      <c r="IBN42" s="223"/>
      <c r="IBO42" s="224"/>
      <c r="IBP42" s="223"/>
      <c r="IBQ42" s="223"/>
      <c r="IBR42" s="223"/>
      <c r="IBS42" s="223"/>
      <c r="IBT42" s="225"/>
      <c r="IBU42" s="220"/>
      <c r="IBV42" s="221"/>
      <c r="IBW42" s="222"/>
      <c r="IBX42" s="222"/>
      <c r="IBY42" s="223"/>
      <c r="IBZ42" s="223"/>
      <c r="ICA42" s="224"/>
      <c r="ICB42" s="223"/>
      <c r="ICC42" s="223"/>
      <c r="ICD42" s="223"/>
      <c r="ICE42" s="223"/>
      <c r="ICF42" s="225"/>
      <c r="ICG42" s="220"/>
      <c r="ICH42" s="221"/>
      <c r="ICI42" s="222"/>
      <c r="ICJ42" s="222"/>
      <c r="ICK42" s="223"/>
      <c r="ICL42" s="223"/>
      <c r="ICM42" s="224"/>
      <c r="ICN42" s="223"/>
      <c r="ICO42" s="223"/>
      <c r="ICP42" s="223"/>
      <c r="ICQ42" s="223"/>
      <c r="ICR42" s="225"/>
      <c r="ICS42" s="220"/>
      <c r="ICT42" s="221"/>
      <c r="ICU42" s="222"/>
      <c r="ICV42" s="222"/>
      <c r="ICW42" s="223"/>
      <c r="ICX42" s="223"/>
      <c r="ICY42" s="224"/>
      <c r="ICZ42" s="223"/>
      <c r="IDA42" s="223"/>
      <c r="IDB42" s="223"/>
      <c r="IDC42" s="223"/>
      <c r="IDD42" s="225"/>
      <c r="IDE42" s="220"/>
      <c r="IDF42" s="221"/>
      <c r="IDG42" s="222"/>
      <c r="IDH42" s="222"/>
      <c r="IDI42" s="223"/>
      <c r="IDJ42" s="223"/>
      <c r="IDK42" s="224"/>
      <c r="IDL42" s="223"/>
      <c r="IDM42" s="223"/>
      <c r="IDN42" s="223"/>
      <c r="IDO42" s="223"/>
      <c r="IDP42" s="225"/>
      <c r="IDQ42" s="220"/>
      <c r="IDR42" s="221"/>
      <c r="IDS42" s="222"/>
      <c r="IDT42" s="222"/>
      <c r="IDU42" s="223"/>
      <c r="IDV42" s="223"/>
      <c r="IDW42" s="224"/>
      <c r="IDX42" s="223"/>
      <c r="IDY42" s="223"/>
      <c r="IDZ42" s="223"/>
      <c r="IEA42" s="223"/>
      <c r="IEB42" s="225"/>
      <c r="IEC42" s="220"/>
      <c r="IED42" s="221"/>
      <c r="IEE42" s="222"/>
      <c r="IEF42" s="222"/>
      <c r="IEG42" s="223"/>
      <c r="IEH42" s="223"/>
      <c r="IEI42" s="224"/>
      <c r="IEJ42" s="223"/>
      <c r="IEK42" s="223"/>
      <c r="IEL42" s="223"/>
      <c r="IEM42" s="223"/>
      <c r="IEN42" s="225"/>
      <c r="IEO42" s="220"/>
      <c r="IEP42" s="221"/>
      <c r="IEQ42" s="222"/>
      <c r="IER42" s="222"/>
      <c r="IES42" s="223"/>
      <c r="IET42" s="223"/>
      <c r="IEU42" s="224"/>
      <c r="IEV42" s="223"/>
      <c r="IEW42" s="223"/>
      <c r="IEX42" s="223"/>
      <c r="IEY42" s="223"/>
      <c r="IEZ42" s="225"/>
      <c r="IFA42" s="220"/>
      <c r="IFB42" s="221"/>
      <c r="IFC42" s="222"/>
      <c r="IFD42" s="222"/>
      <c r="IFE42" s="223"/>
      <c r="IFF42" s="223"/>
      <c r="IFG42" s="224"/>
      <c r="IFH42" s="223"/>
      <c r="IFI42" s="223"/>
      <c r="IFJ42" s="223"/>
      <c r="IFK42" s="223"/>
      <c r="IFL42" s="225"/>
      <c r="IFM42" s="220"/>
      <c r="IFN42" s="221"/>
      <c r="IFO42" s="222"/>
      <c r="IFP42" s="222"/>
      <c r="IFQ42" s="223"/>
      <c r="IFR42" s="223"/>
      <c r="IFS42" s="224"/>
      <c r="IFT42" s="223"/>
      <c r="IFU42" s="223"/>
      <c r="IFV42" s="223"/>
      <c r="IFW42" s="223"/>
      <c r="IFX42" s="225"/>
      <c r="IFY42" s="220"/>
      <c r="IFZ42" s="221"/>
      <c r="IGA42" s="222"/>
      <c r="IGB42" s="222"/>
      <c r="IGC42" s="223"/>
      <c r="IGD42" s="223"/>
      <c r="IGE42" s="224"/>
      <c r="IGF42" s="223"/>
      <c r="IGG42" s="223"/>
      <c r="IGH42" s="223"/>
      <c r="IGI42" s="223"/>
      <c r="IGJ42" s="225"/>
      <c r="IGK42" s="220"/>
      <c r="IGL42" s="221"/>
      <c r="IGM42" s="222"/>
      <c r="IGN42" s="222"/>
      <c r="IGO42" s="223"/>
      <c r="IGP42" s="223"/>
      <c r="IGQ42" s="224"/>
      <c r="IGR42" s="223"/>
      <c r="IGS42" s="223"/>
      <c r="IGT42" s="223"/>
      <c r="IGU42" s="223"/>
      <c r="IGV42" s="225"/>
      <c r="IGW42" s="220"/>
      <c r="IGX42" s="221"/>
      <c r="IGY42" s="222"/>
      <c r="IGZ42" s="222"/>
      <c r="IHA42" s="223"/>
      <c r="IHB42" s="223"/>
      <c r="IHC42" s="224"/>
      <c r="IHD42" s="223"/>
      <c r="IHE42" s="223"/>
      <c r="IHF42" s="223"/>
      <c r="IHG42" s="223"/>
      <c r="IHH42" s="225"/>
      <c r="IHI42" s="220"/>
      <c r="IHJ42" s="221"/>
      <c r="IHK42" s="222"/>
      <c r="IHL42" s="222"/>
      <c r="IHM42" s="223"/>
      <c r="IHN42" s="223"/>
      <c r="IHO42" s="224"/>
      <c r="IHP42" s="223"/>
      <c r="IHQ42" s="223"/>
      <c r="IHR42" s="223"/>
      <c r="IHS42" s="223"/>
      <c r="IHT42" s="225"/>
      <c r="IHU42" s="220"/>
      <c r="IHV42" s="221"/>
      <c r="IHW42" s="222"/>
      <c r="IHX42" s="222"/>
      <c r="IHY42" s="223"/>
      <c r="IHZ42" s="223"/>
      <c r="IIA42" s="224"/>
      <c r="IIB42" s="223"/>
      <c r="IIC42" s="223"/>
      <c r="IID42" s="223"/>
      <c r="IIE42" s="223"/>
      <c r="IIF42" s="225"/>
      <c r="IIG42" s="220"/>
      <c r="IIH42" s="221"/>
      <c r="III42" s="222"/>
      <c r="IIJ42" s="222"/>
      <c r="IIK42" s="223"/>
      <c r="IIL42" s="223"/>
      <c r="IIM42" s="224"/>
      <c r="IIN42" s="223"/>
      <c r="IIO42" s="223"/>
      <c r="IIP42" s="223"/>
      <c r="IIQ42" s="223"/>
      <c r="IIR42" s="225"/>
      <c r="IIS42" s="220"/>
      <c r="IIT42" s="221"/>
      <c r="IIU42" s="222"/>
      <c r="IIV42" s="222"/>
      <c r="IIW42" s="223"/>
      <c r="IIX42" s="223"/>
      <c r="IIY42" s="224"/>
      <c r="IIZ42" s="223"/>
      <c r="IJA42" s="223"/>
      <c r="IJB42" s="223"/>
      <c r="IJC42" s="223"/>
      <c r="IJD42" s="225"/>
      <c r="IJE42" s="220"/>
      <c r="IJF42" s="221"/>
      <c r="IJG42" s="222"/>
      <c r="IJH42" s="222"/>
      <c r="IJI42" s="223"/>
      <c r="IJJ42" s="223"/>
      <c r="IJK42" s="224"/>
      <c r="IJL42" s="223"/>
      <c r="IJM42" s="223"/>
      <c r="IJN42" s="223"/>
      <c r="IJO42" s="223"/>
      <c r="IJP42" s="225"/>
      <c r="IJQ42" s="220"/>
      <c r="IJR42" s="221"/>
      <c r="IJS42" s="222"/>
      <c r="IJT42" s="222"/>
      <c r="IJU42" s="223"/>
      <c r="IJV42" s="223"/>
      <c r="IJW42" s="224"/>
      <c r="IJX42" s="223"/>
      <c r="IJY42" s="223"/>
      <c r="IJZ42" s="223"/>
      <c r="IKA42" s="223"/>
      <c r="IKB42" s="225"/>
      <c r="IKC42" s="220"/>
      <c r="IKD42" s="221"/>
      <c r="IKE42" s="222"/>
      <c r="IKF42" s="222"/>
      <c r="IKG42" s="223"/>
      <c r="IKH42" s="223"/>
      <c r="IKI42" s="224"/>
      <c r="IKJ42" s="223"/>
      <c r="IKK42" s="223"/>
      <c r="IKL42" s="223"/>
      <c r="IKM42" s="223"/>
      <c r="IKN42" s="225"/>
      <c r="IKO42" s="220"/>
      <c r="IKP42" s="221"/>
      <c r="IKQ42" s="222"/>
      <c r="IKR42" s="222"/>
      <c r="IKS42" s="223"/>
      <c r="IKT42" s="223"/>
      <c r="IKU42" s="224"/>
      <c r="IKV42" s="223"/>
      <c r="IKW42" s="223"/>
      <c r="IKX42" s="223"/>
      <c r="IKY42" s="223"/>
      <c r="IKZ42" s="225"/>
      <c r="ILA42" s="220"/>
      <c r="ILB42" s="221"/>
      <c r="ILC42" s="222"/>
      <c r="ILD42" s="222"/>
      <c r="ILE42" s="223"/>
      <c r="ILF42" s="223"/>
      <c r="ILG42" s="224"/>
      <c r="ILH42" s="223"/>
      <c r="ILI42" s="223"/>
      <c r="ILJ42" s="223"/>
      <c r="ILK42" s="223"/>
      <c r="ILL42" s="225"/>
      <c r="ILM42" s="220"/>
      <c r="ILN42" s="221"/>
      <c r="ILO42" s="222"/>
      <c r="ILP42" s="222"/>
      <c r="ILQ42" s="223"/>
      <c r="ILR42" s="223"/>
      <c r="ILS42" s="224"/>
      <c r="ILT42" s="223"/>
      <c r="ILU42" s="223"/>
      <c r="ILV42" s="223"/>
      <c r="ILW42" s="223"/>
      <c r="ILX42" s="225"/>
      <c r="ILY42" s="220"/>
      <c r="ILZ42" s="221"/>
      <c r="IMA42" s="222"/>
      <c r="IMB42" s="222"/>
      <c r="IMC42" s="223"/>
      <c r="IMD42" s="223"/>
      <c r="IME42" s="224"/>
      <c r="IMF42" s="223"/>
      <c r="IMG42" s="223"/>
      <c r="IMH42" s="223"/>
      <c r="IMI42" s="223"/>
      <c r="IMJ42" s="225"/>
      <c r="IMK42" s="220"/>
      <c r="IML42" s="221"/>
      <c r="IMM42" s="222"/>
      <c r="IMN42" s="222"/>
      <c r="IMO42" s="223"/>
      <c r="IMP42" s="223"/>
      <c r="IMQ42" s="224"/>
      <c r="IMR42" s="223"/>
      <c r="IMS42" s="223"/>
      <c r="IMT42" s="223"/>
      <c r="IMU42" s="223"/>
      <c r="IMV42" s="225"/>
      <c r="IMW42" s="220"/>
      <c r="IMX42" s="221"/>
      <c r="IMY42" s="222"/>
      <c r="IMZ42" s="222"/>
      <c r="INA42" s="223"/>
      <c r="INB42" s="223"/>
      <c r="INC42" s="224"/>
      <c r="IND42" s="223"/>
      <c r="INE42" s="223"/>
      <c r="INF42" s="223"/>
      <c r="ING42" s="223"/>
      <c r="INH42" s="225"/>
      <c r="INI42" s="220"/>
      <c r="INJ42" s="221"/>
      <c r="INK42" s="222"/>
      <c r="INL42" s="222"/>
      <c r="INM42" s="223"/>
      <c r="INN42" s="223"/>
      <c r="INO42" s="224"/>
      <c r="INP42" s="223"/>
      <c r="INQ42" s="223"/>
      <c r="INR42" s="223"/>
      <c r="INS42" s="223"/>
      <c r="INT42" s="225"/>
      <c r="INU42" s="220"/>
      <c r="INV42" s="221"/>
      <c r="INW42" s="222"/>
      <c r="INX42" s="222"/>
      <c r="INY42" s="223"/>
      <c r="INZ42" s="223"/>
      <c r="IOA42" s="224"/>
      <c r="IOB42" s="223"/>
      <c r="IOC42" s="223"/>
      <c r="IOD42" s="223"/>
      <c r="IOE42" s="223"/>
      <c r="IOF42" s="225"/>
      <c r="IOG42" s="220"/>
      <c r="IOH42" s="221"/>
      <c r="IOI42" s="222"/>
      <c r="IOJ42" s="222"/>
      <c r="IOK42" s="223"/>
      <c r="IOL42" s="223"/>
      <c r="IOM42" s="224"/>
      <c r="ION42" s="223"/>
      <c r="IOO42" s="223"/>
      <c r="IOP42" s="223"/>
      <c r="IOQ42" s="223"/>
      <c r="IOR42" s="225"/>
      <c r="IOS42" s="220"/>
      <c r="IOT42" s="221"/>
      <c r="IOU42" s="222"/>
      <c r="IOV42" s="222"/>
      <c r="IOW42" s="223"/>
      <c r="IOX42" s="223"/>
      <c r="IOY42" s="224"/>
      <c r="IOZ42" s="223"/>
      <c r="IPA42" s="223"/>
      <c r="IPB42" s="223"/>
      <c r="IPC42" s="223"/>
      <c r="IPD42" s="225"/>
      <c r="IPE42" s="220"/>
      <c r="IPF42" s="221"/>
      <c r="IPG42" s="222"/>
      <c r="IPH42" s="222"/>
      <c r="IPI42" s="223"/>
      <c r="IPJ42" s="223"/>
      <c r="IPK42" s="224"/>
      <c r="IPL42" s="223"/>
      <c r="IPM42" s="223"/>
      <c r="IPN42" s="223"/>
      <c r="IPO42" s="223"/>
      <c r="IPP42" s="225"/>
      <c r="IPQ42" s="220"/>
      <c r="IPR42" s="221"/>
      <c r="IPS42" s="222"/>
      <c r="IPT42" s="222"/>
      <c r="IPU42" s="223"/>
      <c r="IPV42" s="223"/>
      <c r="IPW42" s="224"/>
      <c r="IPX42" s="223"/>
      <c r="IPY42" s="223"/>
      <c r="IPZ42" s="223"/>
      <c r="IQA42" s="223"/>
      <c r="IQB42" s="225"/>
      <c r="IQC42" s="220"/>
      <c r="IQD42" s="221"/>
      <c r="IQE42" s="222"/>
      <c r="IQF42" s="222"/>
      <c r="IQG42" s="223"/>
      <c r="IQH42" s="223"/>
      <c r="IQI42" s="224"/>
      <c r="IQJ42" s="223"/>
      <c r="IQK42" s="223"/>
      <c r="IQL42" s="223"/>
      <c r="IQM42" s="223"/>
      <c r="IQN42" s="225"/>
      <c r="IQO42" s="220"/>
      <c r="IQP42" s="221"/>
      <c r="IQQ42" s="222"/>
      <c r="IQR42" s="222"/>
      <c r="IQS42" s="223"/>
      <c r="IQT42" s="223"/>
      <c r="IQU42" s="224"/>
      <c r="IQV42" s="223"/>
      <c r="IQW42" s="223"/>
      <c r="IQX42" s="223"/>
      <c r="IQY42" s="223"/>
      <c r="IQZ42" s="225"/>
      <c r="IRA42" s="220"/>
      <c r="IRB42" s="221"/>
      <c r="IRC42" s="222"/>
      <c r="IRD42" s="222"/>
      <c r="IRE42" s="223"/>
      <c r="IRF42" s="223"/>
      <c r="IRG42" s="224"/>
      <c r="IRH42" s="223"/>
      <c r="IRI42" s="223"/>
      <c r="IRJ42" s="223"/>
      <c r="IRK42" s="223"/>
      <c r="IRL42" s="225"/>
      <c r="IRM42" s="220"/>
      <c r="IRN42" s="221"/>
      <c r="IRO42" s="222"/>
      <c r="IRP42" s="222"/>
      <c r="IRQ42" s="223"/>
      <c r="IRR42" s="223"/>
      <c r="IRS42" s="224"/>
      <c r="IRT42" s="223"/>
      <c r="IRU42" s="223"/>
      <c r="IRV42" s="223"/>
      <c r="IRW42" s="223"/>
      <c r="IRX42" s="225"/>
      <c r="IRY42" s="220"/>
      <c r="IRZ42" s="221"/>
      <c r="ISA42" s="222"/>
      <c r="ISB42" s="222"/>
      <c r="ISC42" s="223"/>
      <c r="ISD42" s="223"/>
      <c r="ISE42" s="224"/>
      <c r="ISF42" s="223"/>
      <c r="ISG42" s="223"/>
      <c r="ISH42" s="223"/>
      <c r="ISI42" s="223"/>
      <c r="ISJ42" s="225"/>
      <c r="ISK42" s="220"/>
      <c r="ISL42" s="221"/>
      <c r="ISM42" s="222"/>
      <c r="ISN42" s="222"/>
      <c r="ISO42" s="223"/>
      <c r="ISP42" s="223"/>
      <c r="ISQ42" s="224"/>
      <c r="ISR42" s="223"/>
      <c r="ISS42" s="223"/>
      <c r="IST42" s="223"/>
      <c r="ISU42" s="223"/>
      <c r="ISV42" s="225"/>
      <c r="ISW42" s="220"/>
      <c r="ISX42" s="221"/>
      <c r="ISY42" s="222"/>
      <c r="ISZ42" s="222"/>
      <c r="ITA42" s="223"/>
      <c r="ITB42" s="223"/>
      <c r="ITC42" s="224"/>
      <c r="ITD42" s="223"/>
      <c r="ITE42" s="223"/>
      <c r="ITF42" s="223"/>
      <c r="ITG42" s="223"/>
      <c r="ITH42" s="225"/>
      <c r="ITI42" s="220"/>
      <c r="ITJ42" s="221"/>
      <c r="ITK42" s="222"/>
      <c r="ITL42" s="222"/>
      <c r="ITM42" s="223"/>
      <c r="ITN42" s="223"/>
      <c r="ITO42" s="224"/>
      <c r="ITP42" s="223"/>
      <c r="ITQ42" s="223"/>
      <c r="ITR42" s="223"/>
      <c r="ITS42" s="223"/>
      <c r="ITT42" s="225"/>
      <c r="ITU42" s="220"/>
      <c r="ITV42" s="221"/>
      <c r="ITW42" s="222"/>
      <c r="ITX42" s="222"/>
      <c r="ITY42" s="223"/>
      <c r="ITZ42" s="223"/>
      <c r="IUA42" s="224"/>
      <c r="IUB42" s="223"/>
      <c r="IUC42" s="223"/>
      <c r="IUD42" s="223"/>
      <c r="IUE42" s="223"/>
      <c r="IUF42" s="225"/>
      <c r="IUG42" s="220"/>
      <c r="IUH42" s="221"/>
      <c r="IUI42" s="222"/>
      <c r="IUJ42" s="222"/>
      <c r="IUK42" s="223"/>
      <c r="IUL42" s="223"/>
      <c r="IUM42" s="224"/>
      <c r="IUN42" s="223"/>
      <c r="IUO42" s="223"/>
      <c r="IUP42" s="223"/>
      <c r="IUQ42" s="223"/>
      <c r="IUR42" s="225"/>
      <c r="IUS42" s="220"/>
      <c r="IUT42" s="221"/>
      <c r="IUU42" s="222"/>
      <c r="IUV42" s="222"/>
      <c r="IUW42" s="223"/>
      <c r="IUX42" s="223"/>
      <c r="IUY42" s="224"/>
      <c r="IUZ42" s="223"/>
      <c r="IVA42" s="223"/>
      <c r="IVB42" s="223"/>
      <c r="IVC42" s="223"/>
      <c r="IVD42" s="225"/>
      <c r="IVE42" s="220"/>
      <c r="IVF42" s="221"/>
      <c r="IVG42" s="222"/>
      <c r="IVH42" s="222"/>
      <c r="IVI42" s="223"/>
      <c r="IVJ42" s="223"/>
      <c r="IVK42" s="224"/>
      <c r="IVL42" s="223"/>
      <c r="IVM42" s="223"/>
      <c r="IVN42" s="223"/>
      <c r="IVO42" s="223"/>
      <c r="IVP42" s="225"/>
      <c r="IVQ42" s="220"/>
      <c r="IVR42" s="221"/>
      <c r="IVS42" s="222"/>
      <c r="IVT42" s="222"/>
      <c r="IVU42" s="223"/>
      <c r="IVV42" s="223"/>
      <c r="IVW42" s="224"/>
      <c r="IVX42" s="223"/>
      <c r="IVY42" s="223"/>
      <c r="IVZ42" s="223"/>
      <c r="IWA42" s="223"/>
      <c r="IWB42" s="225"/>
      <c r="IWC42" s="220"/>
      <c r="IWD42" s="221"/>
      <c r="IWE42" s="222"/>
      <c r="IWF42" s="222"/>
      <c r="IWG42" s="223"/>
      <c r="IWH42" s="223"/>
      <c r="IWI42" s="224"/>
      <c r="IWJ42" s="223"/>
      <c r="IWK42" s="223"/>
      <c r="IWL42" s="223"/>
      <c r="IWM42" s="223"/>
      <c r="IWN42" s="225"/>
      <c r="IWO42" s="220"/>
      <c r="IWP42" s="221"/>
      <c r="IWQ42" s="222"/>
      <c r="IWR42" s="222"/>
      <c r="IWS42" s="223"/>
      <c r="IWT42" s="223"/>
      <c r="IWU42" s="224"/>
      <c r="IWV42" s="223"/>
      <c r="IWW42" s="223"/>
      <c r="IWX42" s="223"/>
      <c r="IWY42" s="223"/>
      <c r="IWZ42" s="225"/>
      <c r="IXA42" s="220"/>
      <c r="IXB42" s="221"/>
      <c r="IXC42" s="222"/>
      <c r="IXD42" s="222"/>
      <c r="IXE42" s="223"/>
      <c r="IXF42" s="223"/>
      <c r="IXG42" s="224"/>
      <c r="IXH42" s="223"/>
      <c r="IXI42" s="223"/>
      <c r="IXJ42" s="223"/>
      <c r="IXK42" s="223"/>
      <c r="IXL42" s="225"/>
      <c r="IXM42" s="220"/>
      <c r="IXN42" s="221"/>
      <c r="IXO42" s="222"/>
      <c r="IXP42" s="222"/>
      <c r="IXQ42" s="223"/>
      <c r="IXR42" s="223"/>
      <c r="IXS42" s="224"/>
      <c r="IXT42" s="223"/>
      <c r="IXU42" s="223"/>
      <c r="IXV42" s="223"/>
      <c r="IXW42" s="223"/>
      <c r="IXX42" s="225"/>
      <c r="IXY42" s="220"/>
      <c r="IXZ42" s="221"/>
      <c r="IYA42" s="222"/>
      <c r="IYB42" s="222"/>
      <c r="IYC42" s="223"/>
      <c r="IYD42" s="223"/>
      <c r="IYE42" s="224"/>
      <c r="IYF42" s="223"/>
      <c r="IYG42" s="223"/>
      <c r="IYH42" s="223"/>
      <c r="IYI42" s="223"/>
      <c r="IYJ42" s="225"/>
      <c r="IYK42" s="220"/>
      <c r="IYL42" s="221"/>
      <c r="IYM42" s="222"/>
      <c r="IYN42" s="222"/>
      <c r="IYO42" s="223"/>
      <c r="IYP42" s="223"/>
      <c r="IYQ42" s="224"/>
      <c r="IYR42" s="223"/>
      <c r="IYS42" s="223"/>
      <c r="IYT42" s="223"/>
      <c r="IYU42" s="223"/>
      <c r="IYV42" s="225"/>
      <c r="IYW42" s="220"/>
      <c r="IYX42" s="221"/>
      <c r="IYY42" s="222"/>
      <c r="IYZ42" s="222"/>
      <c r="IZA42" s="223"/>
      <c r="IZB42" s="223"/>
      <c r="IZC42" s="224"/>
      <c r="IZD42" s="223"/>
      <c r="IZE42" s="223"/>
      <c r="IZF42" s="223"/>
      <c r="IZG42" s="223"/>
      <c r="IZH42" s="225"/>
      <c r="IZI42" s="220"/>
      <c r="IZJ42" s="221"/>
      <c r="IZK42" s="222"/>
      <c r="IZL42" s="222"/>
      <c r="IZM42" s="223"/>
      <c r="IZN42" s="223"/>
      <c r="IZO42" s="224"/>
      <c r="IZP42" s="223"/>
      <c r="IZQ42" s="223"/>
      <c r="IZR42" s="223"/>
      <c r="IZS42" s="223"/>
      <c r="IZT42" s="225"/>
      <c r="IZU42" s="220"/>
      <c r="IZV42" s="221"/>
      <c r="IZW42" s="222"/>
      <c r="IZX42" s="222"/>
      <c r="IZY42" s="223"/>
      <c r="IZZ42" s="223"/>
      <c r="JAA42" s="224"/>
      <c r="JAB42" s="223"/>
      <c r="JAC42" s="223"/>
      <c r="JAD42" s="223"/>
      <c r="JAE42" s="223"/>
      <c r="JAF42" s="225"/>
      <c r="JAG42" s="220"/>
      <c r="JAH42" s="221"/>
      <c r="JAI42" s="222"/>
      <c r="JAJ42" s="222"/>
      <c r="JAK42" s="223"/>
      <c r="JAL42" s="223"/>
      <c r="JAM42" s="224"/>
      <c r="JAN42" s="223"/>
      <c r="JAO42" s="223"/>
      <c r="JAP42" s="223"/>
      <c r="JAQ42" s="223"/>
      <c r="JAR42" s="225"/>
      <c r="JAS42" s="220"/>
      <c r="JAT42" s="221"/>
      <c r="JAU42" s="222"/>
      <c r="JAV42" s="222"/>
      <c r="JAW42" s="223"/>
      <c r="JAX42" s="223"/>
      <c r="JAY42" s="224"/>
      <c r="JAZ42" s="223"/>
      <c r="JBA42" s="223"/>
      <c r="JBB42" s="223"/>
      <c r="JBC42" s="223"/>
      <c r="JBD42" s="225"/>
      <c r="JBE42" s="220"/>
      <c r="JBF42" s="221"/>
      <c r="JBG42" s="222"/>
      <c r="JBH42" s="222"/>
      <c r="JBI42" s="223"/>
      <c r="JBJ42" s="223"/>
      <c r="JBK42" s="224"/>
      <c r="JBL42" s="223"/>
      <c r="JBM42" s="223"/>
      <c r="JBN42" s="223"/>
      <c r="JBO42" s="223"/>
      <c r="JBP42" s="225"/>
      <c r="JBQ42" s="220"/>
      <c r="JBR42" s="221"/>
      <c r="JBS42" s="222"/>
      <c r="JBT42" s="222"/>
      <c r="JBU42" s="223"/>
      <c r="JBV42" s="223"/>
      <c r="JBW42" s="224"/>
      <c r="JBX42" s="223"/>
      <c r="JBY42" s="223"/>
      <c r="JBZ42" s="223"/>
      <c r="JCA42" s="223"/>
      <c r="JCB42" s="225"/>
      <c r="JCC42" s="220"/>
      <c r="JCD42" s="221"/>
      <c r="JCE42" s="222"/>
      <c r="JCF42" s="222"/>
      <c r="JCG42" s="223"/>
      <c r="JCH42" s="223"/>
      <c r="JCI42" s="224"/>
      <c r="JCJ42" s="223"/>
      <c r="JCK42" s="223"/>
      <c r="JCL42" s="223"/>
      <c r="JCM42" s="223"/>
      <c r="JCN42" s="225"/>
      <c r="JCO42" s="220"/>
      <c r="JCP42" s="221"/>
      <c r="JCQ42" s="222"/>
      <c r="JCR42" s="222"/>
      <c r="JCS42" s="223"/>
      <c r="JCT42" s="223"/>
      <c r="JCU42" s="224"/>
      <c r="JCV42" s="223"/>
      <c r="JCW42" s="223"/>
      <c r="JCX42" s="223"/>
      <c r="JCY42" s="223"/>
      <c r="JCZ42" s="225"/>
      <c r="JDA42" s="220"/>
      <c r="JDB42" s="221"/>
      <c r="JDC42" s="222"/>
      <c r="JDD42" s="222"/>
      <c r="JDE42" s="223"/>
      <c r="JDF42" s="223"/>
      <c r="JDG42" s="224"/>
      <c r="JDH42" s="223"/>
      <c r="JDI42" s="223"/>
      <c r="JDJ42" s="223"/>
      <c r="JDK42" s="223"/>
      <c r="JDL42" s="225"/>
      <c r="JDM42" s="220"/>
      <c r="JDN42" s="221"/>
      <c r="JDO42" s="222"/>
      <c r="JDP42" s="222"/>
      <c r="JDQ42" s="223"/>
      <c r="JDR42" s="223"/>
      <c r="JDS42" s="224"/>
      <c r="JDT42" s="223"/>
      <c r="JDU42" s="223"/>
      <c r="JDV42" s="223"/>
      <c r="JDW42" s="223"/>
      <c r="JDX42" s="225"/>
      <c r="JDY42" s="220"/>
      <c r="JDZ42" s="221"/>
      <c r="JEA42" s="222"/>
      <c r="JEB42" s="222"/>
      <c r="JEC42" s="223"/>
      <c r="JED42" s="223"/>
      <c r="JEE42" s="224"/>
      <c r="JEF42" s="223"/>
      <c r="JEG42" s="223"/>
      <c r="JEH42" s="223"/>
      <c r="JEI42" s="223"/>
      <c r="JEJ42" s="225"/>
      <c r="JEK42" s="220"/>
      <c r="JEL42" s="221"/>
      <c r="JEM42" s="222"/>
      <c r="JEN42" s="222"/>
      <c r="JEO42" s="223"/>
      <c r="JEP42" s="223"/>
      <c r="JEQ42" s="224"/>
      <c r="JER42" s="223"/>
      <c r="JES42" s="223"/>
      <c r="JET42" s="223"/>
      <c r="JEU42" s="223"/>
      <c r="JEV42" s="225"/>
      <c r="JEW42" s="220"/>
      <c r="JEX42" s="221"/>
      <c r="JEY42" s="222"/>
      <c r="JEZ42" s="222"/>
      <c r="JFA42" s="223"/>
      <c r="JFB42" s="223"/>
      <c r="JFC42" s="224"/>
      <c r="JFD42" s="223"/>
      <c r="JFE42" s="223"/>
      <c r="JFF42" s="223"/>
      <c r="JFG42" s="223"/>
      <c r="JFH42" s="225"/>
      <c r="JFI42" s="220"/>
      <c r="JFJ42" s="221"/>
      <c r="JFK42" s="222"/>
      <c r="JFL42" s="222"/>
      <c r="JFM42" s="223"/>
      <c r="JFN42" s="223"/>
      <c r="JFO42" s="224"/>
      <c r="JFP42" s="223"/>
      <c r="JFQ42" s="223"/>
      <c r="JFR42" s="223"/>
      <c r="JFS42" s="223"/>
      <c r="JFT42" s="225"/>
      <c r="JFU42" s="220"/>
      <c r="JFV42" s="221"/>
      <c r="JFW42" s="222"/>
      <c r="JFX42" s="222"/>
      <c r="JFY42" s="223"/>
      <c r="JFZ42" s="223"/>
      <c r="JGA42" s="224"/>
      <c r="JGB42" s="223"/>
      <c r="JGC42" s="223"/>
      <c r="JGD42" s="223"/>
      <c r="JGE42" s="223"/>
      <c r="JGF42" s="225"/>
      <c r="JGG42" s="220"/>
      <c r="JGH42" s="221"/>
      <c r="JGI42" s="222"/>
      <c r="JGJ42" s="222"/>
      <c r="JGK42" s="223"/>
      <c r="JGL42" s="223"/>
      <c r="JGM42" s="224"/>
      <c r="JGN42" s="223"/>
      <c r="JGO42" s="223"/>
      <c r="JGP42" s="223"/>
      <c r="JGQ42" s="223"/>
      <c r="JGR42" s="225"/>
      <c r="JGS42" s="220"/>
      <c r="JGT42" s="221"/>
      <c r="JGU42" s="222"/>
      <c r="JGV42" s="222"/>
      <c r="JGW42" s="223"/>
      <c r="JGX42" s="223"/>
      <c r="JGY42" s="224"/>
      <c r="JGZ42" s="223"/>
      <c r="JHA42" s="223"/>
      <c r="JHB42" s="223"/>
      <c r="JHC42" s="223"/>
      <c r="JHD42" s="225"/>
      <c r="JHE42" s="220"/>
      <c r="JHF42" s="221"/>
      <c r="JHG42" s="222"/>
      <c r="JHH42" s="222"/>
      <c r="JHI42" s="223"/>
      <c r="JHJ42" s="223"/>
      <c r="JHK42" s="224"/>
      <c r="JHL42" s="223"/>
      <c r="JHM42" s="223"/>
      <c r="JHN42" s="223"/>
      <c r="JHO42" s="223"/>
      <c r="JHP42" s="225"/>
      <c r="JHQ42" s="220"/>
      <c r="JHR42" s="221"/>
      <c r="JHS42" s="222"/>
      <c r="JHT42" s="222"/>
      <c r="JHU42" s="223"/>
      <c r="JHV42" s="223"/>
      <c r="JHW42" s="224"/>
      <c r="JHX42" s="223"/>
      <c r="JHY42" s="223"/>
      <c r="JHZ42" s="223"/>
      <c r="JIA42" s="223"/>
      <c r="JIB42" s="225"/>
      <c r="JIC42" s="220"/>
      <c r="JID42" s="221"/>
      <c r="JIE42" s="222"/>
      <c r="JIF42" s="222"/>
      <c r="JIG42" s="223"/>
      <c r="JIH42" s="223"/>
      <c r="JII42" s="224"/>
      <c r="JIJ42" s="223"/>
      <c r="JIK42" s="223"/>
      <c r="JIL42" s="223"/>
      <c r="JIM42" s="223"/>
      <c r="JIN42" s="225"/>
      <c r="JIO42" s="220"/>
      <c r="JIP42" s="221"/>
      <c r="JIQ42" s="222"/>
      <c r="JIR42" s="222"/>
      <c r="JIS42" s="223"/>
      <c r="JIT42" s="223"/>
      <c r="JIU42" s="224"/>
      <c r="JIV42" s="223"/>
      <c r="JIW42" s="223"/>
      <c r="JIX42" s="223"/>
      <c r="JIY42" s="223"/>
      <c r="JIZ42" s="225"/>
      <c r="JJA42" s="220"/>
      <c r="JJB42" s="221"/>
      <c r="JJC42" s="222"/>
      <c r="JJD42" s="222"/>
      <c r="JJE42" s="223"/>
      <c r="JJF42" s="223"/>
      <c r="JJG42" s="224"/>
      <c r="JJH42" s="223"/>
      <c r="JJI42" s="223"/>
      <c r="JJJ42" s="223"/>
      <c r="JJK42" s="223"/>
      <c r="JJL42" s="225"/>
      <c r="JJM42" s="220"/>
      <c r="JJN42" s="221"/>
      <c r="JJO42" s="222"/>
      <c r="JJP42" s="222"/>
      <c r="JJQ42" s="223"/>
      <c r="JJR42" s="223"/>
      <c r="JJS42" s="224"/>
      <c r="JJT42" s="223"/>
      <c r="JJU42" s="223"/>
      <c r="JJV42" s="223"/>
      <c r="JJW42" s="223"/>
      <c r="JJX42" s="225"/>
      <c r="JJY42" s="220"/>
      <c r="JJZ42" s="221"/>
      <c r="JKA42" s="222"/>
      <c r="JKB42" s="222"/>
      <c r="JKC42" s="223"/>
      <c r="JKD42" s="223"/>
      <c r="JKE42" s="224"/>
      <c r="JKF42" s="223"/>
      <c r="JKG42" s="223"/>
      <c r="JKH42" s="223"/>
      <c r="JKI42" s="223"/>
      <c r="JKJ42" s="225"/>
      <c r="JKK42" s="220"/>
      <c r="JKL42" s="221"/>
      <c r="JKM42" s="222"/>
      <c r="JKN42" s="222"/>
      <c r="JKO42" s="223"/>
      <c r="JKP42" s="223"/>
      <c r="JKQ42" s="224"/>
      <c r="JKR42" s="223"/>
      <c r="JKS42" s="223"/>
      <c r="JKT42" s="223"/>
      <c r="JKU42" s="223"/>
      <c r="JKV42" s="225"/>
      <c r="JKW42" s="220"/>
      <c r="JKX42" s="221"/>
      <c r="JKY42" s="222"/>
      <c r="JKZ42" s="222"/>
      <c r="JLA42" s="223"/>
      <c r="JLB42" s="223"/>
      <c r="JLC42" s="224"/>
      <c r="JLD42" s="223"/>
      <c r="JLE42" s="223"/>
      <c r="JLF42" s="223"/>
      <c r="JLG42" s="223"/>
      <c r="JLH42" s="225"/>
      <c r="JLI42" s="220"/>
      <c r="JLJ42" s="221"/>
      <c r="JLK42" s="222"/>
      <c r="JLL42" s="222"/>
      <c r="JLM42" s="223"/>
      <c r="JLN42" s="223"/>
      <c r="JLO42" s="224"/>
      <c r="JLP42" s="223"/>
      <c r="JLQ42" s="223"/>
      <c r="JLR42" s="223"/>
      <c r="JLS42" s="223"/>
      <c r="JLT42" s="225"/>
      <c r="JLU42" s="220"/>
      <c r="JLV42" s="221"/>
      <c r="JLW42" s="222"/>
      <c r="JLX42" s="222"/>
      <c r="JLY42" s="223"/>
      <c r="JLZ42" s="223"/>
      <c r="JMA42" s="224"/>
      <c r="JMB42" s="223"/>
      <c r="JMC42" s="223"/>
      <c r="JMD42" s="223"/>
      <c r="JME42" s="223"/>
      <c r="JMF42" s="225"/>
      <c r="JMG42" s="220"/>
      <c r="JMH42" s="221"/>
      <c r="JMI42" s="222"/>
      <c r="JMJ42" s="222"/>
      <c r="JMK42" s="223"/>
      <c r="JML42" s="223"/>
      <c r="JMM42" s="224"/>
      <c r="JMN42" s="223"/>
      <c r="JMO42" s="223"/>
      <c r="JMP42" s="223"/>
      <c r="JMQ42" s="223"/>
      <c r="JMR42" s="225"/>
      <c r="JMS42" s="220"/>
      <c r="JMT42" s="221"/>
      <c r="JMU42" s="222"/>
      <c r="JMV42" s="222"/>
      <c r="JMW42" s="223"/>
      <c r="JMX42" s="223"/>
      <c r="JMY42" s="224"/>
      <c r="JMZ42" s="223"/>
      <c r="JNA42" s="223"/>
      <c r="JNB42" s="223"/>
      <c r="JNC42" s="223"/>
      <c r="JND42" s="225"/>
      <c r="JNE42" s="220"/>
      <c r="JNF42" s="221"/>
      <c r="JNG42" s="222"/>
      <c r="JNH42" s="222"/>
      <c r="JNI42" s="223"/>
      <c r="JNJ42" s="223"/>
      <c r="JNK42" s="224"/>
      <c r="JNL42" s="223"/>
      <c r="JNM42" s="223"/>
      <c r="JNN42" s="223"/>
      <c r="JNO42" s="223"/>
      <c r="JNP42" s="225"/>
      <c r="JNQ42" s="220"/>
      <c r="JNR42" s="221"/>
      <c r="JNS42" s="222"/>
      <c r="JNT42" s="222"/>
      <c r="JNU42" s="223"/>
      <c r="JNV42" s="223"/>
      <c r="JNW42" s="224"/>
      <c r="JNX42" s="223"/>
      <c r="JNY42" s="223"/>
      <c r="JNZ42" s="223"/>
      <c r="JOA42" s="223"/>
      <c r="JOB42" s="225"/>
      <c r="JOC42" s="220"/>
      <c r="JOD42" s="221"/>
      <c r="JOE42" s="222"/>
      <c r="JOF42" s="222"/>
      <c r="JOG42" s="223"/>
      <c r="JOH42" s="223"/>
      <c r="JOI42" s="224"/>
      <c r="JOJ42" s="223"/>
      <c r="JOK42" s="223"/>
      <c r="JOL42" s="223"/>
      <c r="JOM42" s="223"/>
      <c r="JON42" s="225"/>
      <c r="JOO42" s="220"/>
      <c r="JOP42" s="221"/>
      <c r="JOQ42" s="222"/>
      <c r="JOR42" s="222"/>
      <c r="JOS42" s="223"/>
      <c r="JOT42" s="223"/>
      <c r="JOU42" s="224"/>
      <c r="JOV42" s="223"/>
      <c r="JOW42" s="223"/>
      <c r="JOX42" s="223"/>
      <c r="JOY42" s="223"/>
      <c r="JOZ42" s="225"/>
      <c r="JPA42" s="220"/>
      <c r="JPB42" s="221"/>
      <c r="JPC42" s="222"/>
      <c r="JPD42" s="222"/>
      <c r="JPE42" s="223"/>
      <c r="JPF42" s="223"/>
      <c r="JPG42" s="224"/>
      <c r="JPH42" s="223"/>
      <c r="JPI42" s="223"/>
      <c r="JPJ42" s="223"/>
      <c r="JPK42" s="223"/>
      <c r="JPL42" s="225"/>
      <c r="JPM42" s="220"/>
      <c r="JPN42" s="221"/>
      <c r="JPO42" s="222"/>
      <c r="JPP42" s="222"/>
      <c r="JPQ42" s="223"/>
      <c r="JPR42" s="223"/>
      <c r="JPS42" s="224"/>
      <c r="JPT42" s="223"/>
      <c r="JPU42" s="223"/>
      <c r="JPV42" s="223"/>
      <c r="JPW42" s="223"/>
      <c r="JPX42" s="225"/>
      <c r="JPY42" s="220"/>
      <c r="JPZ42" s="221"/>
      <c r="JQA42" s="222"/>
      <c r="JQB42" s="222"/>
      <c r="JQC42" s="223"/>
      <c r="JQD42" s="223"/>
      <c r="JQE42" s="224"/>
      <c r="JQF42" s="223"/>
      <c r="JQG42" s="223"/>
      <c r="JQH42" s="223"/>
      <c r="JQI42" s="223"/>
      <c r="JQJ42" s="225"/>
      <c r="JQK42" s="220"/>
      <c r="JQL42" s="221"/>
      <c r="JQM42" s="222"/>
      <c r="JQN42" s="222"/>
      <c r="JQO42" s="223"/>
      <c r="JQP42" s="223"/>
      <c r="JQQ42" s="224"/>
      <c r="JQR42" s="223"/>
      <c r="JQS42" s="223"/>
      <c r="JQT42" s="223"/>
      <c r="JQU42" s="223"/>
      <c r="JQV42" s="225"/>
      <c r="JQW42" s="220"/>
      <c r="JQX42" s="221"/>
      <c r="JQY42" s="222"/>
      <c r="JQZ42" s="222"/>
      <c r="JRA42" s="223"/>
      <c r="JRB42" s="223"/>
      <c r="JRC42" s="224"/>
      <c r="JRD42" s="223"/>
      <c r="JRE42" s="223"/>
      <c r="JRF42" s="223"/>
      <c r="JRG42" s="223"/>
      <c r="JRH42" s="225"/>
      <c r="JRI42" s="220"/>
      <c r="JRJ42" s="221"/>
      <c r="JRK42" s="222"/>
      <c r="JRL42" s="222"/>
      <c r="JRM42" s="223"/>
      <c r="JRN42" s="223"/>
      <c r="JRO42" s="224"/>
      <c r="JRP42" s="223"/>
      <c r="JRQ42" s="223"/>
      <c r="JRR42" s="223"/>
      <c r="JRS42" s="223"/>
      <c r="JRT42" s="225"/>
      <c r="JRU42" s="220"/>
      <c r="JRV42" s="221"/>
      <c r="JRW42" s="222"/>
      <c r="JRX42" s="222"/>
      <c r="JRY42" s="223"/>
      <c r="JRZ42" s="223"/>
      <c r="JSA42" s="224"/>
      <c r="JSB42" s="223"/>
      <c r="JSC42" s="223"/>
      <c r="JSD42" s="223"/>
      <c r="JSE42" s="223"/>
      <c r="JSF42" s="225"/>
      <c r="JSG42" s="220"/>
      <c r="JSH42" s="221"/>
      <c r="JSI42" s="222"/>
      <c r="JSJ42" s="222"/>
      <c r="JSK42" s="223"/>
      <c r="JSL42" s="223"/>
      <c r="JSM42" s="224"/>
      <c r="JSN42" s="223"/>
      <c r="JSO42" s="223"/>
      <c r="JSP42" s="223"/>
      <c r="JSQ42" s="223"/>
      <c r="JSR42" s="225"/>
      <c r="JSS42" s="220"/>
      <c r="JST42" s="221"/>
      <c r="JSU42" s="222"/>
      <c r="JSV42" s="222"/>
      <c r="JSW42" s="223"/>
      <c r="JSX42" s="223"/>
      <c r="JSY42" s="224"/>
      <c r="JSZ42" s="223"/>
      <c r="JTA42" s="223"/>
      <c r="JTB42" s="223"/>
      <c r="JTC42" s="223"/>
      <c r="JTD42" s="225"/>
      <c r="JTE42" s="220"/>
      <c r="JTF42" s="221"/>
      <c r="JTG42" s="222"/>
      <c r="JTH42" s="222"/>
      <c r="JTI42" s="223"/>
      <c r="JTJ42" s="223"/>
      <c r="JTK42" s="224"/>
      <c r="JTL42" s="223"/>
      <c r="JTM42" s="223"/>
      <c r="JTN42" s="223"/>
      <c r="JTO42" s="223"/>
      <c r="JTP42" s="225"/>
      <c r="JTQ42" s="220"/>
      <c r="JTR42" s="221"/>
      <c r="JTS42" s="222"/>
      <c r="JTT42" s="222"/>
      <c r="JTU42" s="223"/>
      <c r="JTV42" s="223"/>
      <c r="JTW42" s="224"/>
      <c r="JTX42" s="223"/>
      <c r="JTY42" s="223"/>
      <c r="JTZ42" s="223"/>
      <c r="JUA42" s="223"/>
      <c r="JUB42" s="225"/>
      <c r="JUC42" s="220"/>
      <c r="JUD42" s="221"/>
      <c r="JUE42" s="222"/>
      <c r="JUF42" s="222"/>
      <c r="JUG42" s="223"/>
      <c r="JUH42" s="223"/>
      <c r="JUI42" s="224"/>
      <c r="JUJ42" s="223"/>
      <c r="JUK42" s="223"/>
      <c r="JUL42" s="223"/>
      <c r="JUM42" s="223"/>
      <c r="JUN42" s="225"/>
      <c r="JUO42" s="220"/>
      <c r="JUP42" s="221"/>
      <c r="JUQ42" s="222"/>
      <c r="JUR42" s="222"/>
      <c r="JUS42" s="223"/>
      <c r="JUT42" s="223"/>
      <c r="JUU42" s="224"/>
      <c r="JUV42" s="223"/>
      <c r="JUW42" s="223"/>
      <c r="JUX42" s="223"/>
      <c r="JUY42" s="223"/>
      <c r="JUZ42" s="225"/>
      <c r="JVA42" s="220"/>
      <c r="JVB42" s="221"/>
      <c r="JVC42" s="222"/>
      <c r="JVD42" s="222"/>
      <c r="JVE42" s="223"/>
      <c r="JVF42" s="223"/>
      <c r="JVG42" s="224"/>
      <c r="JVH42" s="223"/>
      <c r="JVI42" s="223"/>
      <c r="JVJ42" s="223"/>
      <c r="JVK42" s="223"/>
      <c r="JVL42" s="225"/>
      <c r="JVM42" s="220"/>
      <c r="JVN42" s="221"/>
      <c r="JVO42" s="222"/>
      <c r="JVP42" s="222"/>
      <c r="JVQ42" s="223"/>
      <c r="JVR42" s="223"/>
      <c r="JVS42" s="224"/>
      <c r="JVT42" s="223"/>
      <c r="JVU42" s="223"/>
      <c r="JVV42" s="223"/>
      <c r="JVW42" s="223"/>
      <c r="JVX42" s="225"/>
      <c r="JVY42" s="220"/>
      <c r="JVZ42" s="221"/>
      <c r="JWA42" s="222"/>
      <c r="JWB42" s="222"/>
      <c r="JWC42" s="223"/>
      <c r="JWD42" s="223"/>
      <c r="JWE42" s="224"/>
      <c r="JWF42" s="223"/>
      <c r="JWG42" s="223"/>
      <c r="JWH42" s="223"/>
      <c r="JWI42" s="223"/>
      <c r="JWJ42" s="225"/>
      <c r="JWK42" s="220"/>
      <c r="JWL42" s="221"/>
      <c r="JWM42" s="222"/>
      <c r="JWN42" s="222"/>
      <c r="JWO42" s="223"/>
      <c r="JWP42" s="223"/>
      <c r="JWQ42" s="224"/>
      <c r="JWR42" s="223"/>
      <c r="JWS42" s="223"/>
      <c r="JWT42" s="223"/>
      <c r="JWU42" s="223"/>
      <c r="JWV42" s="225"/>
      <c r="JWW42" s="220"/>
      <c r="JWX42" s="221"/>
      <c r="JWY42" s="222"/>
      <c r="JWZ42" s="222"/>
      <c r="JXA42" s="223"/>
      <c r="JXB42" s="223"/>
      <c r="JXC42" s="224"/>
      <c r="JXD42" s="223"/>
      <c r="JXE42" s="223"/>
      <c r="JXF42" s="223"/>
      <c r="JXG42" s="223"/>
      <c r="JXH42" s="225"/>
      <c r="JXI42" s="220"/>
      <c r="JXJ42" s="221"/>
      <c r="JXK42" s="222"/>
      <c r="JXL42" s="222"/>
      <c r="JXM42" s="223"/>
      <c r="JXN42" s="223"/>
      <c r="JXO42" s="224"/>
      <c r="JXP42" s="223"/>
      <c r="JXQ42" s="223"/>
      <c r="JXR42" s="223"/>
      <c r="JXS42" s="223"/>
      <c r="JXT42" s="225"/>
      <c r="JXU42" s="220"/>
      <c r="JXV42" s="221"/>
      <c r="JXW42" s="222"/>
      <c r="JXX42" s="222"/>
      <c r="JXY42" s="223"/>
      <c r="JXZ42" s="223"/>
      <c r="JYA42" s="224"/>
      <c r="JYB42" s="223"/>
      <c r="JYC42" s="223"/>
      <c r="JYD42" s="223"/>
      <c r="JYE42" s="223"/>
      <c r="JYF42" s="225"/>
      <c r="JYG42" s="220"/>
      <c r="JYH42" s="221"/>
      <c r="JYI42" s="222"/>
      <c r="JYJ42" s="222"/>
      <c r="JYK42" s="223"/>
      <c r="JYL42" s="223"/>
      <c r="JYM42" s="224"/>
      <c r="JYN42" s="223"/>
      <c r="JYO42" s="223"/>
      <c r="JYP42" s="223"/>
      <c r="JYQ42" s="223"/>
      <c r="JYR42" s="225"/>
      <c r="JYS42" s="220"/>
      <c r="JYT42" s="221"/>
      <c r="JYU42" s="222"/>
      <c r="JYV42" s="222"/>
      <c r="JYW42" s="223"/>
      <c r="JYX42" s="223"/>
      <c r="JYY42" s="224"/>
      <c r="JYZ42" s="223"/>
      <c r="JZA42" s="223"/>
      <c r="JZB42" s="223"/>
      <c r="JZC42" s="223"/>
      <c r="JZD42" s="225"/>
      <c r="JZE42" s="220"/>
      <c r="JZF42" s="221"/>
      <c r="JZG42" s="222"/>
      <c r="JZH42" s="222"/>
      <c r="JZI42" s="223"/>
      <c r="JZJ42" s="223"/>
      <c r="JZK42" s="224"/>
      <c r="JZL42" s="223"/>
      <c r="JZM42" s="223"/>
      <c r="JZN42" s="223"/>
      <c r="JZO42" s="223"/>
      <c r="JZP42" s="225"/>
      <c r="JZQ42" s="220"/>
      <c r="JZR42" s="221"/>
      <c r="JZS42" s="222"/>
      <c r="JZT42" s="222"/>
      <c r="JZU42" s="223"/>
      <c r="JZV42" s="223"/>
      <c r="JZW42" s="224"/>
      <c r="JZX42" s="223"/>
      <c r="JZY42" s="223"/>
      <c r="JZZ42" s="223"/>
      <c r="KAA42" s="223"/>
      <c r="KAB42" s="225"/>
      <c r="KAC42" s="220"/>
      <c r="KAD42" s="221"/>
      <c r="KAE42" s="222"/>
      <c r="KAF42" s="222"/>
      <c r="KAG42" s="223"/>
      <c r="KAH42" s="223"/>
      <c r="KAI42" s="224"/>
      <c r="KAJ42" s="223"/>
      <c r="KAK42" s="223"/>
      <c r="KAL42" s="223"/>
      <c r="KAM42" s="223"/>
      <c r="KAN42" s="225"/>
      <c r="KAO42" s="220"/>
      <c r="KAP42" s="221"/>
      <c r="KAQ42" s="222"/>
      <c r="KAR42" s="222"/>
      <c r="KAS42" s="223"/>
      <c r="KAT42" s="223"/>
      <c r="KAU42" s="224"/>
      <c r="KAV42" s="223"/>
      <c r="KAW42" s="223"/>
      <c r="KAX42" s="223"/>
      <c r="KAY42" s="223"/>
      <c r="KAZ42" s="225"/>
      <c r="KBA42" s="220"/>
      <c r="KBB42" s="221"/>
      <c r="KBC42" s="222"/>
      <c r="KBD42" s="222"/>
      <c r="KBE42" s="223"/>
      <c r="KBF42" s="223"/>
      <c r="KBG42" s="224"/>
      <c r="KBH42" s="223"/>
      <c r="KBI42" s="223"/>
      <c r="KBJ42" s="223"/>
      <c r="KBK42" s="223"/>
      <c r="KBL42" s="225"/>
      <c r="KBM42" s="220"/>
      <c r="KBN42" s="221"/>
      <c r="KBO42" s="222"/>
      <c r="KBP42" s="222"/>
      <c r="KBQ42" s="223"/>
      <c r="KBR42" s="223"/>
      <c r="KBS42" s="224"/>
      <c r="KBT42" s="223"/>
      <c r="KBU42" s="223"/>
      <c r="KBV42" s="223"/>
      <c r="KBW42" s="223"/>
      <c r="KBX42" s="225"/>
      <c r="KBY42" s="220"/>
      <c r="KBZ42" s="221"/>
      <c r="KCA42" s="222"/>
      <c r="KCB42" s="222"/>
      <c r="KCC42" s="223"/>
      <c r="KCD42" s="223"/>
      <c r="KCE42" s="224"/>
      <c r="KCF42" s="223"/>
      <c r="KCG42" s="223"/>
      <c r="KCH42" s="223"/>
      <c r="KCI42" s="223"/>
      <c r="KCJ42" s="225"/>
      <c r="KCK42" s="220"/>
      <c r="KCL42" s="221"/>
      <c r="KCM42" s="222"/>
      <c r="KCN42" s="222"/>
      <c r="KCO42" s="223"/>
      <c r="KCP42" s="223"/>
      <c r="KCQ42" s="224"/>
      <c r="KCR42" s="223"/>
      <c r="KCS42" s="223"/>
      <c r="KCT42" s="223"/>
      <c r="KCU42" s="223"/>
      <c r="KCV42" s="225"/>
      <c r="KCW42" s="220"/>
      <c r="KCX42" s="221"/>
      <c r="KCY42" s="222"/>
      <c r="KCZ42" s="222"/>
      <c r="KDA42" s="223"/>
      <c r="KDB42" s="223"/>
      <c r="KDC42" s="224"/>
      <c r="KDD42" s="223"/>
      <c r="KDE42" s="223"/>
      <c r="KDF42" s="223"/>
      <c r="KDG42" s="223"/>
      <c r="KDH42" s="225"/>
      <c r="KDI42" s="220"/>
      <c r="KDJ42" s="221"/>
      <c r="KDK42" s="222"/>
      <c r="KDL42" s="222"/>
      <c r="KDM42" s="223"/>
      <c r="KDN42" s="223"/>
      <c r="KDO42" s="224"/>
      <c r="KDP42" s="223"/>
      <c r="KDQ42" s="223"/>
      <c r="KDR42" s="223"/>
      <c r="KDS42" s="223"/>
      <c r="KDT42" s="225"/>
      <c r="KDU42" s="220"/>
      <c r="KDV42" s="221"/>
      <c r="KDW42" s="222"/>
      <c r="KDX42" s="222"/>
      <c r="KDY42" s="223"/>
      <c r="KDZ42" s="223"/>
      <c r="KEA42" s="224"/>
      <c r="KEB42" s="223"/>
      <c r="KEC42" s="223"/>
      <c r="KED42" s="223"/>
      <c r="KEE42" s="223"/>
      <c r="KEF42" s="225"/>
      <c r="KEG42" s="220"/>
      <c r="KEH42" s="221"/>
      <c r="KEI42" s="222"/>
      <c r="KEJ42" s="222"/>
      <c r="KEK42" s="223"/>
      <c r="KEL42" s="223"/>
      <c r="KEM42" s="224"/>
      <c r="KEN42" s="223"/>
      <c r="KEO42" s="223"/>
      <c r="KEP42" s="223"/>
      <c r="KEQ42" s="223"/>
      <c r="KER42" s="225"/>
      <c r="KES42" s="220"/>
      <c r="KET42" s="221"/>
      <c r="KEU42" s="222"/>
      <c r="KEV42" s="222"/>
      <c r="KEW42" s="223"/>
      <c r="KEX42" s="223"/>
      <c r="KEY42" s="224"/>
      <c r="KEZ42" s="223"/>
      <c r="KFA42" s="223"/>
      <c r="KFB42" s="223"/>
      <c r="KFC42" s="223"/>
      <c r="KFD42" s="225"/>
      <c r="KFE42" s="220"/>
      <c r="KFF42" s="221"/>
      <c r="KFG42" s="222"/>
      <c r="KFH42" s="222"/>
      <c r="KFI42" s="223"/>
      <c r="KFJ42" s="223"/>
      <c r="KFK42" s="224"/>
      <c r="KFL42" s="223"/>
      <c r="KFM42" s="223"/>
      <c r="KFN42" s="223"/>
      <c r="KFO42" s="223"/>
      <c r="KFP42" s="225"/>
      <c r="KFQ42" s="220"/>
      <c r="KFR42" s="221"/>
      <c r="KFS42" s="222"/>
      <c r="KFT42" s="222"/>
      <c r="KFU42" s="223"/>
      <c r="KFV42" s="223"/>
      <c r="KFW42" s="224"/>
      <c r="KFX42" s="223"/>
      <c r="KFY42" s="223"/>
      <c r="KFZ42" s="223"/>
      <c r="KGA42" s="223"/>
      <c r="KGB42" s="225"/>
      <c r="KGC42" s="220"/>
      <c r="KGD42" s="221"/>
      <c r="KGE42" s="222"/>
      <c r="KGF42" s="222"/>
      <c r="KGG42" s="223"/>
      <c r="KGH42" s="223"/>
      <c r="KGI42" s="224"/>
      <c r="KGJ42" s="223"/>
      <c r="KGK42" s="223"/>
      <c r="KGL42" s="223"/>
      <c r="KGM42" s="223"/>
      <c r="KGN42" s="225"/>
      <c r="KGO42" s="220"/>
      <c r="KGP42" s="221"/>
      <c r="KGQ42" s="222"/>
      <c r="KGR42" s="222"/>
      <c r="KGS42" s="223"/>
      <c r="KGT42" s="223"/>
      <c r="KGU42" s="224"/>
      <c r="KGV42" s="223"/>
      <c r="KGW42" s="223"/>
      <c r="KGX42" s="223"/>
      <c r="KGY42" s="223"/>
      <c r="KGZ42" s="225"/>
      <c r="KHA42" s="220"/>
      <c r="KHB42" s="221"/>
      <c r="KHC42" s="222"/>
      <c r="KHD42" s="222"/>
      <c r="KHE42" s="223"/>
      <c r="KHF42" s="223"/>
      <c r="KHG42" s="224"/>
      <c r="KHH42" s="223"/>
      <c r="KHI42" s="223"/>
      <c r="KHJ42" s="223"/>
      <c r="KHK42" s="223"/>
      <c r="KHL42" s="225"/>
      <c r="KHM42" s="220"/>
      <c r="KHN42" s="221"/>
      <c r="KHO42" s="222"/>
      <c r="KHP42" s="222"/>
      <c r="KHQ42" s="223"/>
      <c r="KHR42" s="223"/>
      <c r="KHS42" s="224"/>
      <c r="KHT42" s="223"/>
      <c r="KHU42" s="223"/>
      <c r="KHV42" s="223"/>
      <c r="KHW42" s="223"/>
      <c r="KHX42" s="225"/>
      <c r="KHY42" s="220"/>
      <c r="KHZ42" s="221"/>
      <c r="KIA42" s="222"/>
      <c r="KIB42" s="222"/>
      <c r="KIC42" s="223"/>
      <c r="KID42" s="223"/>
      <c r="KIE42" s="224"/>
      <c r="KIF42" s="223"/>
      <c r="KIG42" s="223"/>
      <c r="KIH42" s="223"/>
      <c r="KII42" s="223"/>
      <c r="KIJ42" s="225"/>
      <c r="KIK42" s="220"/>
      <c r="KIL42" s="221"/>
      <c r="KIM42" s="222"/>
      <c r="KIN42" s="222"/>
      <c r="KIO42" s="223"/>
      <c r="KIP42" s="223"/>
      <c r="KIQ42" s="224"/>
      <c r="KIR42" s="223"/>
      <c r="KIS42" s="223"/>
      <c r="KIT42" s="223"/>
      <c r="KIU42" s="223"/>
      <c r="KIV42" s="225"/>
      <c r="KIW42" s="220"/>
      <c r="KIX42" s="221"/>
      <c r="KIY42" s="222"/>
      <c r="KIZ42" s="222"/>
      <c r="KJA42" s="223"/>
      <c r="KJB42" s="223"/>
      <c r="KJC42" s="224"/>
      <c r="KJD42" s="223"/>
      <c r="KJE42" s="223"/>
      <c r="KJF42" s="223"/>
      <c r="KJG42" s="223"/>
      <c r="KJH42" s="225"/>
      <c r="KJI42" s="220"/>
      <c r="KJJ42" s="221"/>
      <c r="KJK42" s="222"/>
      <c r="KJL42" s="222"/>
      <c r="KJM42" s="223"/>
      <c r="KJN42" s="223"/>
      <c r="KJO42" s="224"/>
      <c r="KJP42" s="223"/>
      <c r="KJQ42" s="223"/>
      <c r="KJR42" s="223"/>
      <c r="KJS42" s="223"/>
      <c r="KJT42" s="225"/>
      <c r="KJU42" s="220"/>
      <c r="KJV42" s="221"/>
      <c r="KJW42" s="222"/>
      <c r="KJX42" s="222"/>
      <c r="KJY42" s="223"/>
      <c r="KJZ42" s="223"/>
      <c r="KKA42" s="224"/>
      <c r="KKB42" s="223"/>
      <c r="KKC42" s="223"/>
      <c r="KKD42" s="223"/>
      <c r="KKE42" s="223"/>
      <c r="KKF42" s="225"/>
      <c r="KKG42" s="220"/>
      <c r="KKH42" s="221"/>
      <c r="KKI42" s="222"/>
      <c r="KKJ42" s="222"/>
      <c r="KKK42" s="223"/>
      <c r="KKL42" s="223"/>
      <c r="KKM42" s="224"/>
      <c r="KKN42" s="223"/>
      <c r="KKO42" s="223"/>
      <c r="KKP42" s="223"/>
      <c r="KKQ42" s="223"/>
      <c r="KKR42" s="225"/>
      <c r="KKS42" s="220"/>
      <c r="KKT42" s="221"/>
      <c r="KKU42" s="222"/>
      <c r="KKV42" s="222"/>
      <c r="KKW42" s="223"/>
      <c r="KKX42" s="223"/>
      <c r="KKY42" s="224"/>
      <c r="KKZ42" s="223"/>
      <c r="KLA42" s="223"/>
      <c r="KLB42" s="223"/>
      <c r="KLC42" s="223"/>
      <c r="KLD42" s="225"/>
      <c r="KLE42" s="220"/>
      <c r="KLF42" s="221"/>
      <c r="KLG42" s="222"/>
      <c r="KLH42" s="222"/>
      <c r="KLI42" s="223"/>
      <c r="KLJ42" s="223"/>
      <c r="KLK42" s="224"/>
      <c r="KLL42" s="223"/>
      <c r="KLM42" s="223"/>
      <c r="KLN42" s="223"/>
      <c r="KLO42" s="223"/>
      <c r="KLP42" s="225"/>
      <c r="KLQ42" s="220"/>
      <c r="KLR42" s="221"/>
      <c r="KLS42" s="222"/>
      <c r="KLT42" s="222"/>
      <c r="KLU42" s="223"/>
      <c r="KLV42" s="223"/>
      <c r="KLW42" s="224"/>
      <c r="KLX42" s="223"/>
      <c r="KLY42" s="223"/>
      <c r="KLZ42" s="223"/>
      <c r="KMA42" s="223"/>
      <c r="KMB42" s="225"/>
      <c r="KMC42" s="220"/>
      <c r="KMD42" s="221"/>
      <c r="KME42" s="222"/>
      <c r="KMF42" s="222"/>
      <c r="KMG42" s="223"/>
      <c r="KMH42" s="223"/>
      <c r="KMI42" s="224"/>
      <c r="KMJ42" s="223"/>
      <c r="KMK42" s="223"/>
      <c r="KML42" s="223"/>
      <c r="KMM42" s="223"/>
      <c r="KMN42" s="225"/>
      <c r="KMO42" s="220"/>
      <c r="KMP42" s="221"/>
      <c r="KMQ42" s="222"/>
      <c r="KMR42" s="222"/>
      <c r="KMS42" s="223"/>
      <c r="KMT42" s="223"/>
      <c r="KMU42" s="224"/>
      <c r="KMV42" s="223"/>
      <c r="KMW42" s="223"/>
      <c r="KMX42" s="223"/>
      <c r="KMY42" s="223"/>
      <c r="KMZ42" s="225"/>
      <c r="KNA42" s="220"/>
      <c r="KNB42" s="221"/>
      <c r="KNC42" s="222"/>
      <c r="KND42" s="222"/>
      <c r="KNE42" s="223"/>
      <c r="KNF42" s="223"/>
      <c r="KNG42" s="224"/>
      <c r="KNH42" s="223"/>
      <c r="KNI42" s="223"/>
      <c r="KNJ42" s="223"/>
      <c r="KNK42" s="223"/>
      <c r="KNL42" s="225"/>
      <c r="KNM42" s="220"/>
      <c r="KNN42" s="221"/>
      <c r="KNO42" s="222"/>
      <c r="KNP42" s="222"/>
      <c r="KNQ42" s="223"/>
      <c r="KNR42" s="223"/>
      <c r="KNS42" s="224"/>
      <c r="KNT42" s="223"/>
      <c r="KNU42" s="223"/>
      <c r="KNV42" s="223"/>
      <c r="KNW42" s="223"/>
      <c r="KNX42" s="225"/>
      <c r="KNY42" s="220"/>
      <c r="KNZ42" s="221"/>
      <c r="KOA42" s="222"/>
      <c r="KOB42" s="222"/>
      <c r="KOC42" s="223"/>
      <c r="KOD42" s="223"/>
      <c r="KOE42" s="224"/>
      <c r="KOF42" s="223"/>
      <c r="KOG42" s="223"/>
      <c r="KOH42" s="223"/>
      <c r="KOI42" s="223"/>
      <c r="KOJ42" s="225"/>
      <c r="KOK42" s="220"/>
      <c r="KOL42" s="221"/>
      <c r="KOM42" s="222"/>
      <c r="KON42" s="222"/>
      <c r="KOO42" s="223"/>
      <c r="KOP42" s="223"/>
      <c r="KOQ42" s="224"/>
      <c r="KOR42" s="223"/>
      <c r="KOS42" s="223"/>
      <c r="KOT42" s="223"/>
      <c r="KOU42" s="223"/>
      <c r="KOV42" s="225"/>
      <c r="KOW42" s="220"/>
      <c r="KOX42" s="221"/>
      <c r="KOY42" s="222"/>
      <c r="KOZ42" s="222"/>
      <c r="KPA42" s="223"/>
      <c r="KPB42" s="223"/>
      <c r="KPC42" s="224"/>
      <c r="KPD42" s="223"/>
      <c r="KPE42" s="223"/>
      <c r="KPF42" s="223"/>
      <c r="KPG42" s="223"/>
      <c r="KPH42" s="225"/>
      <c r="KPI42" s="220"/>
      <c r="KPJ42" s="221"/>
      <c r="KPK42" s="222"/>
      <c r="KPL42" s="222"/>
      <c r="KPM42" s="223"/>
      <c r="KPN42" s="223"/>
      <c r="KPO42" s="224"/>
      <c r="KPP42" s="223"/>
      <c r="KPQ42" s="223"/>
      <c r="KPR42" s="223"/>
      <c r="KPS42" s="223"/>
      <c r="KPT42" s="225"/>
      <c r="KPU42" s="220"/>
      <c r="KPV42" s="221"/>
      <c r="KPW42" s="222"/>
      <c r="KPX42" s="222"/>
      <c r="KPY42" s="223"/>
      <c r="KPZ42" s="223"/>
      <c r="KQA42" s="224"/>
      <c r="KQB42" s="223"/>
      <c r="KQC42" s="223"/>
      <c r="KQD42" s="223"/>
      <c r="KQE42" s="223"/>
      <c r="KQF42" s="225"/>
      <c r="KQG42" s="220"/>
      <c r="KQH42" s="221"/>
      <c r="KQI42" s="222"/>
      <c r="KQJ42" s="222"/>
      <c r="KQK42" s="223"/>
      <c r="KQL42" s="223"/>
      <c r="KQM42" s="224"/>
      <c r="KQN42" s="223"/>
      <c r="KQO42" s="223"/>
      <c r="KQP42" s="223"/>
      <c r="KQQ42" s="223"/>
      <c r="KQR42" s="225"/>
      <c r="KQS42" s="220"/>
      <c r="KQT42" s="221"/>
      <c r="KQU42" s="222"/>
      <c r="KQV42" s="222"/>
      <c r="KQW42" s="223"/>
      <c r="KQX42" s="223"/>
      <c r="KQY42" s="224"/>
      <c r="KQZ42" s="223"/>
      <c r="KRA42" s="223"/>
      <c r="KRB42" s="223"/>
      <c r="KRC42" s="223"/>
      <c r="KRD42" s="225"/>
      <c r="KRE42" s="220"/>
      <c r="KRF42" s="221"/>
      <c r="KRG42" s="222"/>
      <c r="KRH42" s="222"/>
      <c r="KRI42" s="223"/>
      <c r="KRJ42" s="223"/>
      <c r="KRK42" s="224"/>
      <c r="KRL42" s="223"/>
      <c r="KRM42" s="223"/>
      <c r="KRN42" s="223"/>
      <c r="KRO42" s="223"/>
      <c r="KRP42" s="225"/>
      <c r="KRQ42" s="220"/>
      <c r="KRR42" s="221"/>
      <c r="KRS42" s="222"/>
      <c r="KRT42" s="222"/>
      <c r="KRU42" s="223"/>
      <c r="KRV42" s="223"/>
      <c r="KRW42" s="224"/>
      <c r="KRX42" s="223"/>
      <c r="KRY42" s="223"/>
      <c r="KRZ42" s="223"/>
      <c r="KSA42" s="223"/>
      <c r="KSB42" s="225"/>
      <c r="KSC42" s="220"/>
      <c r="KSD42" s="221"/>
      <c r="KSE42" s="222"/>
      <c r="KSF42" s="222"/>
      <c r="KSG42" s="223"/>
      <c r="KSH42" s="223"/>
      <c r="KSI42" s="224"/>
      <c r="KSJ42" s="223"/>
      <c r="KSK42" s="223"/>
      <c r="KSL42" s="223"/>
      <c r="KSM42" s="223"/>
      <c r="KSN42" s="225"/>
      <c r="KSO42" s="220"/>
      <c r="KSP42" s="221"/>
      <c r="KSQ42" s="222"/>
      <c r="KSR42" s="222"/>
      <c r="KSS42" s="223"/>
      <c r="KST42" s="223"/>
      <c r="KSU42" s="224"/>
      <c r="KSV42" s="223"/>
      <c r="KSW42" s="223"/>
      <c r="KSX42" s="223"/>
      <c r="KSY42" s="223"/>
      <c r="KSZ42" s="225"/>
      <c r="KTA42" s="220"/>
      <c r="KTB42" s="221"/>
      <c r="KTC42" s="222"/>
      <c r="KTD42" s="222"/>
      <c r="KTE42" s="223"/>
      <c r="KTF42" s="223"/>
      <c r="KTG42" s="224"/>
      <c r="KTH42" s="223"/>
      <c r="KTI42" s="223"/>
      <c r="KTJ42" s="223"/>
      <c r="KTK42" s="223"/>
      <c r="KTL42" s="225"/>
      <c r="KTM42" s="220"/>
      <c r="KTN42" s="221"/>
      <c r="KTO42" s="222"/>
      <c r="KTP42" s="222"/>
      <c r="KTQ42" s="223"/>
      <c r="KTR42" s="223"/>
      <c r="KTS42" s="224"/>
      <c r="KTT42" s="223"/>
      <c r="KTU42" s="223"/>
      <c r="KTV42" s="223"/>
      <c r="KTW42" s="223"/>
      <c r="KTX42" s="225"/>
      <c r="KTY42" s="220"/>
      <c r="KTZ42" s="221"/>
      <c r="KUA42" s="222"/>
      <c r="KUB42" s="222"/>
      <c r="KUC42" s="223"/>
      <c r="KUD42" s="223"/>
      <c r="KUE42" s="224"/>
      <c r="KUF42" s="223"/>
      <c r="KUG42" s="223"/>
      <c r="KUH42" s="223"/>
      <c r="KUI42" s="223"/>
      <c r="KUJ42" s="225"/>
      <c r="KUK42" s="220"/>
      <c r="KUL42" s="221"/>
      <c r="KUM42" s="222"/>
      <c r="KUN42" s="222"/>
      <c r="KUO42" s="223"/>
      <c r="KUP42" s="223"/>
      <c r="KUQ42" s="224"/>
      <c r="KUR42" s="223"/>
      <c r="KUS42" s="223"/>
      <c r="KUT42" s="223"/>
      <c r="KUU42" s="223"/>
      <c r="KUV42" s="225"/>
      <c r="KUW42" s="220"/>
      <c r="KUX42" s="221"/>
      <c r="KUY42" s="222"/>
      <c r="KUZ42" s="222"/>
      <c r="KVA42" s="223"/>
      <c r="KVB42" s="223"/>
      <c r="KVC42" s="224"/>
      <c r="KVD42" s="223"/>
      <c r="KVE42" s="223"/>
      <c r="KVF42" s="223"/>
      <c r="KVG42" s="223"/>
      <c r="KVH42" s="225"/>
      <c r="KVI42" s="220"/>
      <c r="KVJ42" s="221"/>
      <c r="KVK42" s="222"/>
      <c r="KVL42" s="222"/>
      <c r="KVM42" s="223"/>
      <c r="KVN42" s="223"/>
      <c r="KVO42" s="224"/>
      <c r="KVP42" s="223"/>
      <c r="KVQ42" s="223"/>
      <c r="KVR42" s="223"/>
      <c r="KVS42" s="223"/>
      <c r="KVT42" s="225"/>
      <c r="KVU42" s="220"/>
      <c r="KVV42" s="221"/>
      <c r="KVW42" s="222"/>
      <c r="KVX42" s="222"/>
      <c r="KVY42" s="223"/>
      <c r="KVZ42" s="223"/>
      <c r="KWA42" s="224"/>
      <c r="KWB42" s="223"/>
      <c r="KWC42" s="223"/>
      <c r="KWD42" s="223"/>
      <c r="KWE42" s="223"/>
      <c r="KWF42" s="225"/>
      <c r="KWG42" s="220"/>
      <c r="KWH42" s="221"/>
      <c r="KWI42" s="222"/>
      <c r="KWJ42" s="222"/>
      <c r="KWK42" s="223"/>
      <c r="KWL42" s="223"/>
      <c r="KWM42" s="224"/>
      <c r="KWN42" s="223"/>
      <c r="KWO42" s="223"/>
      <c r="KWP42" s="223"/>
      <c r="KWQ42" s="223"/>
      <c r="KWR42" s="225"/>
      <c r="KWS42" s="220"/>
      <c r="KWT42" s="221"/>
      <c r="KWU42" s="222"/>
      <c r="KWV42" s="222"/>
      <c r="KWW42" s="223"/>
      <c r="KWX42" s="223"/>
      <c r="KWY42" s="224"/>
      <c r="KWZ42" s="223"/>
      <c r="KXA42" s="223"/>
      <c r="KXB42" s="223"/>
      <c r="KXC42" s="223"/>
      <c r="KXD42" s="225"/>
      <c r="KXE42" s="220"/>
      <c r="KXF42" s="221"/>
      <c r="KXG42" s="222"/>
      <c r="KXH42" s="222"/>
      <c r="KXI42" s="223"/>
      <c r="KXJ42" s="223"/>
      <c r="KXK42" s="224"/>
      <c r="KXL42" s="223"/>
      <c r="KXM42" s="223"/>
      <c r="KXN42" s="223"/>
      <c r="KXO42" s="223"/>
      <c r="KXP42" s="225"/>
      <c r="KXQ42" s="220"/>
      <c r="KXR42" s="221"/>
      <c r="KXS42" s="222"/>
      <c r="KXT42" s="222"/>
      <c r="KXU42" s="223"/>
      <c r="KXV42" s="223"/>
      <c r="KXW42" s="224"/>
      <c r="KXX42" s="223"/>
      <c r="KXY42" s="223"/>
      <c r="KXZ42" s="223"/>
      <c r="KYA42" s="223"/>
      <c r="KYB42" s="225"/>
      <c r="KYC42" s="220"/>
      <c r="KYD42" s="221"/>
      <c r="KYE42" s="222"/>
      <c r="KYF42" s="222"/>
      <c r="KYG42" s="223"/>
      <c r="KYH42" s="223"/>
      <c r="KYI42" s="224"/>
      <c r="KYJ42" s="223"/>
      <c r="KYK42" s="223"/>
      <c r="KYL42" s="223"/>
      <c r="KYM42" s="223"/>
      <c r="KYN42" s="225"/>
      <c r="KYO42" s="220"/>
      <c r="KYP42" s="221"/>
      <c r="KYQ42" s="222"/>
      <c r="KYR42" s="222"/>
      <c r="KYS42" s="223"/>
      <c r="KYT42" s="223"/>
      <c r="KYU42" s="224"/>
      <c r="KYV42" s="223"/>
      <c r="KYW42" s="223"/>
      <c r="KYX42" s="223"/>
      <c r="KYY42" s="223"/>
      <c r="KYZ42" s="225"/>
      <c r="KZA42" s="220"/>
      <c r="KZB42" s="221"/>
      <c r="KZC42" s="222"/>
      <c r="KZD42" s="222"/>
      <c r="KZE42" s="223"/>
      <c r="KZF42" s="223"/>
      <c r="KZG42" s="224"/>
      <c r="KZH42" s="223"/>
      <c r="KZI42" s="223"/>
      <c r="KZJ42" s="223"/>
      <c r="KZK42" s="223"/>
      <c r="KZL42" s="225"/>
      <c r="KZM42" s="220"/>
      <c r="KZN42" s="221"/>
      <c r="KZO42" s="222"/>
      <c r="KZP42" s="222"/>
      <c r="KZQ42" s="223"/>
      <c r="KZR42" s="223"/>
      <c r="KZS42" s="224"/>
      <c r="KZT42" s="223"/>
      <c r="KZU42" s="223"/>
      <c r="KZV42" s="223"/>
      <c r="KZW42" s="223"/>
      <c r="KZX42" s="225"/>
      <c r="KZY42" s="220"/>
      <c r="KZZ42" s="221"/>
      <c r="LAA42" s="222"/>
      <c r="LAB42" s="222"/>
      <c r="LAC42" s="223"/>
      <c r="LAD42" s="223"/>
      <c r="LAE42" s="224"/>
      <c r="LAF42" s="223"/>
      <c r="LAG42" s="223"/>
      <c r="LAH42" s="223"/>
      <c r="LAI42" s="223"/>
      <c r="LAJ42" s="225"/>
      <c r="LAK42" s="220"/>
      <c r="LAL42" s="221"/>
      <c r="LAM42" s="222"/>
      <c r="LAN42" s="222"/>
      <c r="LAO42" s="223"/>
      <c r="LAP42" s="223"/>
      <c r="LAQ42" s="224"/>
      <c r="LAR42" s="223"/>
      <c r="LAS42" s="223"/>
      <c r="LAT42" s="223"/>
      <c r="LAU42" s="223"/>
      <c r="LAV42" s="225"/>
      <c r="LAW42" s="220"/>
      <c r="LAX42" s="221"/>
      <c r="LAY42" s="222"/>
      <c r="LAZ42" s="222"/>
      <c r="LBA42" s="223"/>
      <c r="LBB42" s="223"/>
      <c r="LBC42" s="224"/>
      <c r="LBD42" s="223"/>
      <c r="LBE42" s="223"/>
      <c r="LBF42" s="223"/>
      <c r="LBG42" s="223"/>
      <c r="LBH42" s="225"/>
      <c r="LBI42" s="220"/>
      <c r="LBJ42" s="221"/>
      <c r="LBK42" s="222"/>
      <c r="LBL42" s="222"/>
      <c r="LBM42" s="223"/>
      <c r="LBN42" s="223"/>
      <c r="LBO42" s="224"/>
      <c r="LBP42" s="223"/>
      <c r="LBQ42" s="223"/>
      <c r="LBR42" s="223"/>
      <c r="LBS42" s="223"/>
      <c r="LBT42" s="225"/>
      <c r="LBU42" s="220"/>
      <c r="LBV42" s="221"/>
      <c r="LBW42" s="222"/>
      <c r="LBX42" s="222"/>
      <c r="LBY42" s="223"/>
      <c r="LBZ42" s="223"/>
      <c r="LCA42" s="224"/>
      <c r="LCB42" s="223"/>
      <c r="LCC42" s="223"/>
      <c r="LCD42" s="223"/>
      <c r="LCE42" s="223"/>
      <c r="LCF42" s="225"/>
      <c r="LCG42" s="220"/>
      <c r="LCH42" s="221"/>
      <c r="LCI42" s="222"/>
      <c r="LCJ42" s="222"/>
      <c r="LCK42" s="223"/>
      <c r="LCL42" s="223"/>
      <c r="LCM42" s="224"/>
      <c r="LCN42" s="223"/>
      <c r="LCO42" s="223"/>
      <c r="LCP42" s="223"/>
      <c r="LCQ42" s="223"/>
      <c r="LCR42" s="225"/>
      <c r="LCS42" s="220"/>
      <c r="LCT42" s="221"/>
      <c r="LCU42" s="222"/>
      <c r="LCV42" s="222"/>
      <c r="LCW42" s="223"/>
      <c r="LCX42" s="223"/>
      <c r="LCY42" s="224"/>
      <c r="LCZ42" s="223"/>
      <c r="LDA42" s="223"/>
      <c r="LDB42" s="223"/>
      <c r="LDC42" s="223"/>
      <c r="LDD42" s="225"/>
      <c r="LDE42" s="220"/>
      <c r="LDF42" s="221"/>
      <c r="LDG42" s="222"/>
      <c r="LDH42" s="222"/>
      <c r="LDI42" s="223"/>
      <c r="LDJ42" s="223"/>
      <c r="LDK42" s="224"/>
      <c r="LDL42" s="223"/>
      <c r="LDM42" s="223"/>
      <c r="LDN42" s="223"/>
      <c r="LDO42" s="223"/>
      <c r="LDP42" s="225"/>
      <c r="LDQ42" s="220"/>
      <c r="LDR42" s="221"/>
      <c r="LDS42" s="222"/>
      <c r="LDT42" s="222"/>
      <c r="LDU42" s="223"/>
      <c r="LDV42" s="223"/>
      <c r="LDW42" s="224"/>
      <c r="LDX42" s="223"/>
      <c r="LDY42" s="223"/>
      <c r="LDZ42" s="223"/>
      <c r="LEA42" s="223"/>
      <c r="LEB42" s="225"/>
      <c r="LEC42" s="220"/>
      <c r="LED42" s="221"/>
      <c r="LEE42" s="222"/>
      <c r="LEF42" s="222"/>
      <c r="LEG42" s="223"/>
      <c r="LEH42" s="223"/>
      <c r="LEI42" s="224"/>
      <c r="LEJ42" s="223"/>
      <c r="LEK42" s="223"/>
      <c r="LEL42" s="223"/>
      <c r="LEM42" s="223"/>
      <c r="LEN42" s="225"/>
      <c r="LEO42" s="220"/>
      <c r="LEP42" s="221"/>
      <c r="LEQ42" s="222"/>
      <c r="LER42" s="222"/>
      <c r="LES42" s="223"/>
      <c r="LET42" s="223"/>
      <c r="LEU42" s="224"/>
      <c r="LEV42" s="223"/>
      <c r="LEW42" s="223"/>
      <c r="LEX42" s="223"/>
      <c r="LEY42" s="223"/>
      <c r="LEZ42" s="225"/>
      <c r="LFA42" s="220"/>
      <c r="LFB42" s="221"/>
      <c r="LFC42" s="222"/>
      <c r="LFD42" s="222"/>
      <c r="LFE42" s="223"/>
      <c r="LFF42" s="223"/>
      <c r="LFG42" s="224"/>
      <c r="LFH42" s="223"/>
      <c r="LFI42" s="223"/>
      <c r="LFJ42" s="223"/>
      <c r="LFK42" s="223"/>
      <c r="LFL42" s="225"/>
      <c r="LFM42" s="220"/>
      <c r="LFN42" s="221"/>
      <c r="LFO42" s="222"/>
      <c r="LFP42" s="222"/>
      <c r="LFQ42" s="223"/>
      <c r="LFR42" s="223"/>
      <c r="LFS42" s="224"/>
      <c r="LFT42" s="223"/>
      <c r="LFU42" s="223"/>
      <c r="LFV42" s="223"/>
      <c r="LFW42" s="223"/>
      <c r="LFX42" s="225"/>
      <c r="LFY42" s="220"/>
      <c r="LFZ42" s="221"/>
      <c r="LGA42" s="222"/>
      <c r="LGB42" s="222"/>
      <c r="LGC42" s="223"/>
      <c r="LGD42" s="223"/>
      <c r="LGE42" s="224"/>
      <c r="LGF42" s="223"/>
      <c r="LGG42" s="223"/>
      <c r="LGH42" s="223"/>
      <c r="LGI42" s="223"/>
      <c r="LGJ42" s="225"/>
      <c r="LGK42" s="220"/>
      <c r="LGL42" s="221"/>
      <c r="LGM42" s="222"/>
      <c r="LGN42" s="222"/>
      <c r="LGO42" s="223"/>
      <c r="LGP42" s="223"/>
      <c r="LGQ42" s="224"/>
      <c r="LGR42" s="223"/>
      <c r="LGS42" s="223"/>
      <c r="LGT42" s="223"/>
      <c r="LGU42" s="223"/>
      <c r="LGV42" s="225"/>
      <c r="LGW42" s="220"/>
      <c r="LGX42" s="221"/>
      <c r="LGY42" s="222"/>
      <c r="LGZ42" s="222"/>
      <c r="LHA42" s="223"/>
      <c r="LHB42" s="223"/>
      <c r="LHC42" s="224"/>
      <c r="LHD42" s="223"/>
      <c r="LHE42" s="223"/>
      <c r="LHF42" s="223"/>
      <c r="LHG42" s="223"/>
      <c r="LHH42" s="225"/>
      <c r="LHI42" s="220"/>
      <c r="LHJ42" s="221"/>
      <c r="LHK42" s="222"/>
      <c r="LHL42" s="222"/>
      <c r="LHM42" s="223"/>
      <c r="LHN42" s="223"/>
      <c r="LHO42" s="224"/>
      <c r="LHP42" s="223"/>
      <c r="LHQ42" s="223"/>
      <c r="LHR42" s="223"/>
      <c r="LHS42" s="223"/>
      <c r="LHT42" s="225"/>
      <c r="LHU42" s="220"/>
      <c r="LHV42" s="221"/>
      <c r="LHW42" s="222"/>
      <c r="LHX42" s="222"/>
      <c r="LHY42" s="223"/>
      <c r="LHZ42" s="223"/>
      <c r="LIA42" s="224"/>
      <c r="LIB42" s="223"/>
      <c r="LIC42" s="223"/>
      <c r="LID42" s="223"/>
      <c r="LIE42" s="223"/>
      <c r="LIF42" s="225"/>
      <c r="LIG42" s="220"/>
      <c r="LIH42" s="221"/>
      <c r="LII42" s="222"/>
      <c r="LIJ42" s="222"/>
      <c r="LIK42" s="223"/>
      <c r="LIL42" s="223"/>
      <c r="LIM42" s="224"/>
      <c r="LIN42" s="223"/>
      <c r="LIO42" s="223"/>
      <c r="LIP42" s="223"/>
      <c r="LIQ42" s="223"/>
      <c r="LIR42" s="225"/>
      <c r="LIS42" s="220"/>
      <c r="LIT42" s="221"/>
      <c r="LIU42" s="222"/>
      <c r="LIV42" s="222"/>
      <c r="LIW42" s="223"/>
      <c r="LIX42" s="223"/>
      <c r="LIY42" s="224"/>
      <c r="LIZ42" s="223"/>
      <c r="LJA42" s="223"/>
      <c r="LJB42" s="223"/>
      <c r="LJC42" s="223"/>
      <c r="LJD42" s="225"/>
      <c r="LJE42" s="220"/>
      <c r="LJF42" s="221"/>
      <c r="LJG42" s="222"/>
      <c r="LJH42" s="222"/>
      <c r="LJI42" s="223"/>
      <c r="LJJ42" s="223"/>
      <c r="LJK42" s="224"/>
      <c r="LJL42" s="223"/>
      <c r="LJM42" s="223"/>
      <c r="LJN42" s="223"/>
      <c r="LJO42" s="223"/>
      <c r="LJP42" s="225"/>
      <c r="LJQ42" s="220"/>
      <c r="LJR42" s="221"/>
      <c r="LJS42" s="222"/>
      <c r="LJT42" s="222"/>
      <c r="LJU42" s="223"/>
      <c r="LJV42" s="223"/>
      <c r="LJW42" s="224"/>
      <c r="LJX42" s="223"/>
      <c r="LJY42" s="223"/>
      <c r="LJZ42" s="223"/>
      <c r="LKA42" s="223"/>
      <c r="LKB42" s="225"/>
      <c r="LKC42" s="220"/>
      <c r="LKD42" s="221"/>
      <c r="LKE42" s="222"/>
      <c r="LKF42" s="222"/>
      <c r="LKG42" s="223"/>
      <c r="LKH42" s="223"/>
      <c r="LKI42" s="224"/>
      <c r="LKJ42" s="223"/>
      <c r="LKK42" s="223"/>
      <c r="LKL42" s="223"/>
      <c r="LKM42" s="223"/>
      <c r="LKN42" s="225"/>
      <c r="LKO42" s="220"/>
      <c r="LKP42" s="221"/>
      <c r="LKQ42" s="222"/>
      <c r="LKR42" s="222"/>
      <c r="LKS42" s="223"/>
      <c r="LKT42" s="223"/>
      <c r="LKU42" s="224"/>
      <c r="LKV42" s="223"/>
      <c r="LKW42" s="223"/>
      <c r="LKX42" s="223"/>
      <c r="LKY42" s="223"/>
      <c r="LKZ42" s="225"/>
      <c r="LLA42" s="220"/>
      <c r="LLB42" s="221"/>
      <c r="LLC42" s="222"/>
      <c r="LLD42" s="222"/>
      <c r="LLE42" s="223"/>
      <c r="LLF42" s="223"/>
      <c r="LLG42" s="224"/>
      <c r="LLH42" s="223"/>
      <c r="LLI42" s="223"/>
      <c r="LLJ42" s="223"/>
      <c r="LLK42" s="223"/>
      <c r="LLL42" s="225"/>
      <c r="LLM42" s="220"/>
      <c r="LLN42" s="221"/>
      <c r="LLO42" s="222"/>
      <c r="LLP42" s="222"/>
      <c r="LLQ42" s="223"/>
      <c r="LLR42" s="223"/>
      <c r="LLS42" s="224"/>
      <c r="LLT42" s="223"/>
      <c r="LLU42" s="223"/>
      <c r="LLV42" s="223"/>
      <c r="LLW42" s="223"/>
      <c r="LLX42" s="225"/>
      <c r="LLY42" s="220"/>
      <c r="LLZ42" s="221"/>
      <c r="LMA42" s="222"/>
      <c r="LMB42" s="222"/>
      <c r="LMC42" s="223"/>
      <c r="LMD42" s="223"/>
      <c r="LME42" s="224"/>
      <c r="LMF42" s="223"/>
      <c r="LMG42" s="223"/>
      <c r="LMH42" s="223"/>
      <c r="LMI42" s="223"/>
      <c r="LMJ42" s="225"/>
      <c r="LMK42" s="220"/>
      <c r="LML42" s="221"/>
      <c r="LMM42" s="222"/>
      <c r="LMN42" s="222"/>
      <c r="LMO42" s="223"/>
      <c r="LMP42" s="223"/>
      <c r="LMQ42" s="224"/>
      <c r="LMR42" s="223"/>
      <c r="LMS42" s="223"/>
      <c r="LMT42" s="223"/>
      <c r="LMU42" s="223"/>
      <c r="LMV42" s="225"/>
      <c r="LMW42" s="220"/>
      <c r="LMX42" s="221"/>
      <c r="LMY42" s="222"/>
      <c r="LMZ42" s="222"/>
      <c r="LNA42" s="223"/>
      <c r="LNB42" s="223"/>
      <c r="LNC42" s="224"/>
      <c r="LND42" s="223"/>
      <c r="LNE42" s="223"/>
      <c r="LNF42" s="223"/>
      <c r="LNG42" s="223"/>
      <c r="LNH42" s="225"/>
      <c r="LNI42" s="220"/>
      <c r="LNJ42" s="221"/>
      <c r="LNK42" s="222"/>
      <c r="LNL42" s="222"/>
      <c r="LNM42" s="223"/>
      <c r="LNN42" s="223"/>
      <c r="LNO42" s="224"/>
      <c r="LNP42" s="223"/>
      <c r="LNQ42" s="223"/>
      <c r="LNR42" s="223"/>
      <c r="LNS42" s="223"/>
      <c r="LNT42" s="225"/>
      <c r="LNU42" s="220"/>
      <c r="LNV42" s="221"/>
      <c r="LNW42" s="222"/>
      <c r="LNX42" s="222"/>
      <c r="LNY42" s="223"/>
      <c r="LNZ42" s="223"/>
      <c r="LOA42" s="224"/>
      <c r="LOB42" s="223"/>
      <c r="LOC42" s="223"/>
      <c r="LOD42" s="223"/>
      <c r="LOE42" s="223"/>
      <c r="LOF42" s="225"/>
      <c r="LOG42" s="220"/>
      <c r="LOH42" s="221"/>
      <c r="LOI42" s="222"/>
      <c r="LOJ42" s="222"/>
      <c r="LOK42" s="223"/>
      <c r="LOL42" s="223"/>
      <c r="LOM42" s="224"/>
      <c r="LON42" s="223"/>
      <c r="LOO42" s="223"/>
      <c r="LOP42" s="223"/>
      <c r="LOQ42" s="223"/>
      <c r="LOR42" s="225"/>
      <c r="LOS42" s="220"/>
      <c r="LOT42" s="221"/>
      <c r="LOU42" s="222"/>
      <c r="LOV42" s="222"/>
      <c r="LOW42" s="223"/>
      <c r="LOX42" s="223"/>
      <c r="LOY42" s="224"/>
      <c r="LOZ42" s="223"/>
      <c r="LPA42" s="223"/>
      <c r="LPB42" s="223"/>
      <c r="LPC42" s="223"/>
      <c r="LPD42" s="225"/>
      <c r="LPE42" s="220"/>
      <c r="LPF42" s="221"/>
      <c r="LPG42" s="222"/>
      <c r="LPH42" s="222"/>
      <c r="LPI42" s="223"/>
      <c r="LPJ42" s="223"/>
      <c r="LPK42" s="224"/>
      <c r="LPL42" s="223"/>
      <c r="LPM42" s="223"/>
      <c r="LPN42" s="223"/>
      <c r="LPO42" s="223"/>
      <c r="LPP42" s="225"/>
      <c r="LPQ42" s="220"/>
      <c r="LPR42" s="221"/>
      <c r="LPS42" s="222"/>
      <c r="LPT42" s="222"/>
      <c r="LPU42" s="223"/>
      <c r="LPV42" s="223"/>
      <c r="LPW42" s="224"/>
      <c r="LPX42" s="223"/>
      <c r="LPY42" s="223"/>
      <c r="LPZ42" s="223"/>
      <c r="LQA42" s="223"/>
      <c r="LQB42" s="225"/>
      <c r="LQC42" s="220"/>
      <c r="LQD42" s="221"/>
      <c r="LQE42" s="222"/>
      <c r="LQF42" s="222"/>
      <c r="LQG42" s="223"/>
      <c r="LQH42" s="223"/>
      <c r="LQI42" s="224"/>
      <c r="LQJ42" s="223"/>
      <c r="LQK42" s="223"/>
      <c r="LQL42" s="223"/>
      <c r="LQM42" s="223"/>
      <c r="LQN42" s="225"/>
      <c r="LQO42" s="220"/>
      <c r="LQP42" s="221"/>
      <c r="LQQ42" s="222"/>
      <c r="LQR42" s="222"/>
      <c r="LQS42" s="223"/>
      <c r="LQT42" s="223"/>
      <c r="LQU42" s="224"/>
      <c r="LQV42" s="223"/>
      <c r="LQW42" s="223"/>
      <c r="LQX42" s="223"/>
      <c r="LQY42" s="223"/>
      <c r="LQZ42" s="225"/>
      <c r="LRA42" s="220"/>
      <c r="LRB42" s="221"/>
      <c r="LRC42" s="222"/>
      <c r="LRD42" s="222"/>
      <c r="LRE42" s="223"/>
      <c r="LRF42" s="223"/>
      <c r="LRG42" s="224"/>
      <c r="LRH42" s="223"/>
      <c r="LRI42" s="223"/>
      <c r="LRJ42" s="223"/>
      <c r="LRK42" s="223"/>
      <c r="LRL42" s="225"/>
      <c r="LRM42" s="220"/>
      <c r="LRN42" s="221"/>
      <c r="LRO42" s="222"/>
      <c r="LRP42" s="222"/>
      <c r="LRQ42" s="223"/>
      <c r="LRR42" s="223"/>
      <c r="LRS42" s="224"/>
      <c r="LRT42" s="223"/>
      <c r="LRU42" s="223"/>
      <c r="LRV42" s="223"/>
      <c r="LRW42" s="223"/>
      <c r="LRX42" s="225"/>
      <c r="LRY42" s="220"/>
      <c r="LRZ42" s="221"/>
      <c r="LSA42" s="222"/>
      <c r="LSB42" s="222"/>
      <c r="LSC42" s="223"/>
      <c r="LSD42" s="223"/>
      <c r="LSE42" s="224"/>
      <c r="LSF42" s="223"/>
      <c r="LSG42" s="223"/>
      <c r="LSH42" s="223"/>
      <c r="LSI42" s="223"/>
      <c r="LSJ42" s="225"/>
      <c r="LSK42" s="220"/>
      <c r="LSL42" s="221"/>
      <c r="LSM42" s="222"/>
      <c r="LSN42" s="222"/>
      <c r="LSO42" s="223"/>
      <c r="LSP42" s="223"/>
      <c r="LSQ42" s="224"/>
      <c r="LSR42" s="223"/>
      <c r="LSS42" s="223"/>
      <c r="LST42" s="223"/>
      <c r="LSU42" s="223"/>
      <c r="LSV42" s="225"/>
      <c r="LSW42" s="220"/>
      <c r="LSX42" s="221"/>
      <c r="LSY42" s="222"/>
      <c r="LSZ42" s="222"/>
      <c r="LTA42" s="223"/>
      <c r="LTB42" s="223"/>
      <c r="LTC42" s="224"/>
      <c r="LTD42" s="223"/>
      <c r="LTE42" s="223"/>
      <c r="LTF42" s="223"/>
      <c r="LTG42" s="223"/>
      <c r="LTH42" s="225"/>
      <c r="LTI42" s="220"/>
      <c r="LTJ42" s="221"/>
      <c r="LTK42" s="222"/>
      <c r="LTL42" s="222"/>
      <c r="LTM42" s="223"/>
      <c r="LTN42" s="223"/>
      <c r="LTO42" s="224"/>
      <c r="LTP42" s="223"/>
      <c r="LTQ42" s="223"/>
      <c r="LTR42" s="223"/>
      <c r="LTS42" s="223"/>
      <c r="LTT42" s="225"/>
      <c r="LTU42" s="220"/>
      <c r="LTV42" s="221"/>
      <c r="LTW42" s="222"/>
      <c r="LTX42" s="222"/>
      <c r="LTY42" s="223"/>
      <c r="LTZ42" s="223"/>
      <c r="LUA42" s="224"/>
      <c r="LUB42" s="223"/>
      <c r="LUC42" s="223"/>
      <c r="LUD42" s="223"/>
      <c r="LUE42" s="223"/>
      <c r="LUF42" s="225"/>
      <c r="LUG42" s="220"/>
      <c r="LUH42" s="221"/>
      <c r="LUI42" s="222"/>
      <c r="LUJ42" s="222"/>
      <c r="LUK42" s="223"/>
      <c r="LUL42" s="223"/>
      <c r="LUM42" s="224"/>
      <c r="LUN42" s="223"/>
      <c r="LUO42" s="223"/>
      <c r="LUP42" s="223"/>
      <c r="LUQ42" s="223"/>
      <c r="LUR42" s="225"/>
      <c r="LUS42" s="220"/>
      <c r="LUT42" s="221"/>
      <c r="LUU42" s="222"/>
      <c r="LUV42" s="222"/>
      <c r="LUW42" s="223"/>
      <c r="LUX42" s="223"/>
      <c r="LUY42" s="224"/>
      <c r="LUZ42" s="223"/>
      <c r="LVA42" s="223"/>
      <c r="LVB42" s="223"/>
      <c r="LVC42" s="223"/>
      <c r="LVD42" s="225"/>
      <c r="LVE42" s="220"/>
      <c r="LVF42" s="221"/>
      <c r="LVG42" s="222"/>
      <c r="LVH42" s="222"/>
      <c r="LVI42" s="223"/>
      <c r="LVJ42" s="223"/>
      <c r="LVK42" s="224"/>
      <c r="LVL42" s="223"/>
      <c r="LVM42" s="223"/>
      <c r="LVN42" s="223"/>
      <c r="LVO42" s="223"/>
      <c r="LVP42" s="225"/>
      <c r="LVQ42" s="220"/>
      <c r="LVR42" s="221"/>
      <c r="LVS42" s="222"/>
      <c r="LVT42" s="222"/>
      <c r="LVU42" s="223"/>
      <c r="LVV42" s="223"/>
      <c r="LVW42" s="224"/>
      <c r="LVX42" s="223"/>
      <c r="LVY42" s="223"/>
      <c r="LVZ42" s="223"/>
      <c r="LWA42" s="223"/>
      <c r="LWB42" s="225"/>
      <c r="LWC42" s="220"/>
      <c r="LWD42" s="221"/>
      <c r="LWE42" s="222"/>
      <c r="LWF42" s="222"/>
      <c r="LWG42" s="223"/>
      <c r="LWH42" s="223"/>
      <c r="LWI42" s="224"/>
      <c r="LWJ42" s="223"/>
      <c r="LWK42" s="223"/>
      <c r="LWL42" s="223"/>
      <c r="LWM42" s="223"/>
      <c r="LWN42" s="225"/>
      <c r="LWO42" s="220"/>
      <c r="LWP42" s="221"/>
      <c r="LWQ42" s="222"/>
      <c r="LWR42" s="222"/>
      <c r="LWS42" s="223"/>
      <c r="LWT42" s="223"/>
      <c r="LWU42" s="224"/>
      <c r="LWV42" s="223"/>
      <c r="LWW42" s="223"/>
      <c r="LWX42" s="223"/>
      <c r="LWY42" s="223"/>
      <c r="LWZ42" s="225"/>
      <c r="LXA42" s="220"/>
      <c r="LXB42" s="221"/>
      <c r="LXC42" s="222"/>
      <c r="LXD42" s="222"/>
      <c r="LXE42" s="223"/>
      <c r="LXF42" s="223"/>
      <c r="LXG42" s="224"/>
      <c r="LXH42" s="223"/>
      <c r="LXI42" s="223"/>
      <c r="LXJ42" s="223"/>
      <c r="LXK42" s="223"/>
      <c r="LXL42" s="225"/>
      <c r="LXM42" s="220"/>
      <c r="LXN42" s="221"/>
      <c r="LXO42" s="222"/>
      <c r="LXP42" s="222"/>
      <c r="LXQ42" s="223"/>
      <c r="LXR42" s="223"/>
      <c r="LXS42" s="224"/>
      <c r="LXT42" s="223"/>
      <c r="LXU42" s="223"/>
      <c r="LXV42" s="223"/>
      <c r="LXW42" s="223"/>
      <c r="LXX42" s="225"/>
      <c r="LXY42" s="220"/>
      <c r="LXZ42" s="221"/>
      <c r="LYA42" s="222"/>
      <c r="LYB42" s="222"/>
      <c r="LYC42" s="223"/>
      <c r="LYD42" s="223"/>
      <c r="LYE42" s="224"/>
      <c r="LYF42" s="223"/>
      <c r="LYG42" s="223"/>
      <c r="LYH42" s="223"/>
      <c r="LYI42" s="223"/>
      <c r="LYJ42" s="225"/>
      <c r="LYK42" s="220"/>
      <c r="LYL42" s="221"/>
      <c r="LYM42" s="222"/>
      <c r="LYN42" s="222"/>
      <c r="LYO42" s="223"/>
      <c r="LYP42" s="223"/>
      <c r="LYQ42" s="224"/>
      <c r="LYR42" s="223"/>
      <c r="LYS42" s="223"/>
      <c r="LYT42" s="223"/>
      <c r="LYU42" s="223"/>
      <c r="LYV42" s="225"/>
      <c r="LYW42" s="220"/>
      <c r="LYX42" s="221"/>
      <c r="LYY42" s="222"/>
      <c r="LYZ42" s="222"/>
      <c r="LZA42" s="223"/>
      <c r="LZB42" s="223"/>
      <c r="LZC42" s="224"/>
      <c r="LZD42" s="223"/>
      <c r="LZE42" s="223"/>
      <c r="LZF42" s="223"/>
      <c r="LZG42" s="223"/>
      <c r="LZH42" s="225"/>
      <c r="LZI42" s="220"/>
      <c r="LZJ42" s="221"/>
      <c r="LZK42" s="222"/>
      <c r="LZL42" s="222"/>
      <c r="LZM42" s="223"/>
      <c r="LZN42" s="223"/>
      <c r="LZO42" s="224"/>
      <c r="LZP42" s="223"/>
      <c r="LZQ42" s="223"/>
      <c r="LZR42" s="223"/>
      <c r="LZS42" s="223"/>
      <c r="LZT42" s="225"/>
      <c r="LZU42" s="220"/>
      <c r="LZV42" s="221"/>
      <c r="LZW42" s="222"/>
      <c r="LZX42" s="222"/>
      <c r="LZY42" s="223"/>
      <c r="LZZ42" s="223"/>
      <c r="MAA42" s="224"/>
      <c r="MAB42" s="223"/>
      <c r="MAC42" s="223"/>
      <c r="MAD42" s="223"/>
      <c r="MAE42" s="223"/>
      <c r="MAF42" s="225"/>
      <c r="MAG42" s="220"/>
      <c r="MAH42" s="221"/>
      <c r="MAI42" s="222"/>
      <c r="MAJ42" s="222"/>
      <c r="MAK42" s="223"/>
      <c r="MAL42" s="223"/>
      <c r="MAM42" s="224"/>
      <c r="MAN42" s="223"/>
      <c r="MAO42" s="223"/>
      <c r="MAP42" s="223"/>
      <c r="MAQ42" s="223"/>
      <c r="MAR42" s="225"/>
      <c r="MAS42" s="220"/>
      <c r="MAT42" s="221"/>
      <c r="MAU42" s="222"/>
      <c r="MAV42" s="222"/>
      <c r="MAW42" s="223"/>
      <c r="MAX42" s="223"/>
      <c r="MAY42" s="224"/>
      <c r="MAZ42" s="223"/>
      <c r="MBA42" s="223"/>
      <c r="MBB42" s="223"/>
      <c r="MBC42" s="223"/>
      <c r="MBD42" s="225"/>
      <c r="MBE42" s="220"/>
      <c r="MBF42" s="221"/>
      <c r="MBG42" s="222"/>
      <c r="MBH42" s="222"/>
      <c r="MBI42" s="223"/>
      <c r="MBJ42" s="223"/>
      <c r="MBK42" s="224"/>
      <c r="MBL42" s="223"/>
      <c r="MBM42" s="223"/>
      <c r="MBN42" s="223"/>
      <c r="MBO42" s="223"/>
      <c r="MBP42" s="225"/>
      <c r="MBQ42" s="220"/>
      <c r="MBR42" s="221"/>
      <c r="MBS42" s="222"/>
      <c r="MBT42" s="222"/>
      <c r="MBU42" s="223"/>
      <c r="MBV42" s="223"/>
      <c r="MBW42" s="224"/>
      <c r="MBX42" s="223"/>
      <c r="MBY42" s="223"/>
      <c r="MBZ42" s="223"/>
      <c r="MCA42" s="223"/>
      <c r="MCB42" s="225"/>
      <c r="MCC42" s="220"/>
      <c r="MCD42" s="221"/>
      <c r="MCE42" s="222"/>
      <c r="MCF42" s="222"/>
      <c r="MCG42" s="223"/>
      <c r="MCH42" s="223"/>
      <c r="MCI42" s="224"/>
      <c r="MCJ42" s="223"/>
      <c r="MCK42" s="223"/>
      <c r="MCL42" s="223"/>
      <c r="MCM42" s="223"/>
      <c r="MCN42" s="225"/>
      <c r="MCO42" s="220"/>
      <c r="MCP42" s="221"/>
      <c r="MCQ42" s="222"/>
      <c r="MCR42" s="222"/>
      <c r="MCS42" s="223"/>
      <c r="MCT42" s="223"/>
      <c r="MCU42" s="224"/>
      <c r="MCV42" s="223"/>
      <c r="MCW42" s="223"/>
      <c r="MCX42" s="223"/>
      <c r="MCY42" s="223"/>
      <c r="MCZ42" s="225"/>
      <c r="MDA42" s="220"/>
      <c r="MDB42" s="221"/>
      <c r="MDC42" s="222"/>
      <c r="MDD42" s="222"/>
      <c r="MDE42" s="223"/>
      <c r="MDF42" s="223"/>
      <c r="MDG42" s="224"/>
      <c r="MDH42" s="223"/>
      <c r="MDI42" s="223"/>
      <c r="MDJ42" s="223"/>
      <c r="MDK42" s="223"/>
      <c r="MDL42" s="225"/>
      <c r="MDM42" s="220"/>
      <c r="MDN42" s="221"/>
      <c r="MDO42" s="222"/>
      <c r="MDP42" s="222"/>
      <c r="MDQ42" s="223"/>
      <c r="MDR42" s="223"/>
      <c r="MDS42" s="224"/>
      <c r="MDT42" s="223"/>
      <c r="MDU42" s="223"/>
      <c r="MDV42" s="223"/>
      <c r="MDW42" s="223"/>
      <c r="MDX42" s="225"/>
      <c r="MDY42" s="220"/>
      <c r="MDZ42" s="221"/>
      <c r="MEA42" s="222"/>
      <c r="MEB42" s="222"/>
      <c r="MEC42" s="223"/>
      <c r="MED42" s="223"/>
      <c r="MEE42" s="224"/>
      <c r="MEF42" s="223"/>
      <c r="MEG42" s="223"/>
      <c r="MEH42" s="223"/>
      <c r="MEI42" s="223"/>
      <c r="MEJ42" s="225"/>
      <c r="MEK42" s="220"/>
      <c r="MEL42" s="221"/>
      <c r="MEM42" s="222"/>
      <c r="MEN42" s="222"/>
      <c r="MEO42" s="223"/>
      <c r="MEP42" s="223"/>
      <c r="MEQ42" s="224"/>
      <c r="MER42" s="223"/>
      <c r="MES42" s="223"/>
      <c r="MET42" s="223"/>
      <c r="MEU42" s="223"/>
      <c r="MEV42" s="225"/>
      <c r="MEW42" s="220"/>
      <c r="MEX42" s="221"/>
      <c r="MEY42" s="222"/>
      <c r="MEZ42" s="222"/>
      <c r="MFA42" s="223"/>
      <c r="MFB42" s="223"/>
      <c r="MFC42" s="224"/>
      <c r="MFD42" s="223"/>
      <c r="MFE42" s="223"/>
      <c r="MFF42" s="223"/>
      <c r="MFG42" s="223"/>
      <c r="MFH42" s="225"/>
      <c r="MFI42" s="220"/>
      <c r="MFJ42" s="221"/>
      <c r="MFK42" s="222"/>
      <c r="MFL42" s="222"/>
      <c r="MFM42" s="223"/>
      <c r="MFN42" s="223"/>
      <c r="MFO42" s="224"/>
      <c r="MFP42" s="223"/>
      <c r="MFQ42" s="223"/>
      <c r="MFR42" s="223"/>
      <c r="MFS42" s="223"/>
      <c r="MFT42" s="225"/>
      <c r="MFU42" s="220"/>
      <c r="MFV42" s="221"/>
      <c r="MFW42" s="222"/>
      <c r="MFX42" s="222"/>
      <c r="MFY42" s="223"/>
      <c r="MFZ42" s="223"/>
      <c r="MGA42" s="224"/>
      <c r="MGB42" s="223"/>
      <c r="MGC42" s="223"/>
      <c r="MGD42" s="223"/>
      <c r="MGE42" s="223"/>
      <c r="MGF42" s="225"/>
      <c r="MGG42" s="220"/>
      <c r="MGH42" s="221"/>
      <c r="MGI42" s="222"/>
      <c r="MGJ42" s="222"/>
      <c r="MGK42" s="223"/>
      <c r="MGL42" s="223"/>
      <c r="MGM42" s="224"/>
      <c r="MGN42" s="223"/>
      <c r="MGO42" s="223"/>
      <c r="MGP42" s="223"/>
      <c r="MGQ42" s="223"/>
      <c r="MGR42" s="225"/>
      <c r="MGS42" s="220"/>
      <c r="MGT42" s="221"/>
      <c r="MGU42" s="222"/>
      <c r="MGV42" s="222"/>
      <c r="MGW42" s="223"/>
      <c r="MGX42" s="223"/>
      <c r="MGY42" s="224"/>
      <c r="MGZ42" s="223"/>
      <c r="MHA42" s="223"/>
      <c r="MHB42" s="223"/>
      <c r="MHC42" s="223"/>
      <c r="MHD42" s="225"/>
      <c r="MHE42" s="220"/>
      <c r="MHF42" s="221"/>
      <c r="MHG42" s="222"/>
      <c r="MHH42" s="222"/>
      <c r="MHI42" s="223"/>
      <c r="MHJ42" s="223"/>
      <c r="MHK42" s="224"/>
      <c r="MHL42" s="223"/>
      <c r="MHM42" s="223"/>
      <c r="MHN42" s="223"/>
      <c r="MHO42" s="223"/>
      <c r="MHP42" s="225"/>
      <c r="MHQ42" s="220"/>
      <c r="MHR42" s="221"/>
      <c r="MHS42" s="222"/>
      <c r="MHT42" s="222"/>
      <c r="MHU42" s="223"/>
      <c r="MHV42" s="223"/>
      <c r="MHW42" s="224"/>
      <c r="MHX42" s="223"/>
      <c r="MHY42" s="223"/>
      <c r="MHZ42" s="223"/>
      <c r="MIA42" s="223"/>
      <c r="MIB42" s="225"/>
      <c r="MIC42" s="220"/>
      <c r="MID42" s="221"/>
      <c r="MIE42" s="222"/>
      <c r="MIF42" s="222"/>
      <c r="MIG42" s="223"/>
      <c r="MIH42" s="223"/>
      <c r="MII42" s="224"/>
      <c r="MIJ42" s="223"/>
      <c r="MIK42" s="223"/>
      <c r="MIL42" s="223"/>
      <c r="MIM42" s="223"/>
      <c r="MIN42" s="225"/>
      <c r="MIO42" s="220"/>
      <c r="MIP42" s="221"/>
      <c r="MIQ42" s="222"/>
      <c r="MIR42" s="222"/>
      <c r="MIS42" s="223"/>
      <c r="MIT42" s="223"/>
      <c r="MIU42" s="224"/>
      <c r="MIV42" s="223"/>
      <c r="MIW42" s="223"/>
      <c r="MIX42" s="223"/>
      <c r="MIY42" s="223"/>
      <c r="MIZ42" s="225"/>
      <c r="MJA42" s="220"/>
      <c r="MJB42" s="221"/>
      <c r="MJC42" s="222"/>
      <c r="MJD42" s="222"/>
      <c r="MJE42" s="223"/>
      <c r="MJF42" s="223"/>
      <c r="MJG42" s="224"/>
      <c r="MJH42" s="223"/>
      <c r="MJI42" s="223"/>
      <c r="MJJ42" s="223"/>
      <c r="MJK42" s="223"/>
      <c r="MJL42" s="225"/>
      <c r="MJM42" s="220"/>
      <c r="MJN42" s="221"/>
      <c r="MJO42" s="222"/>
      <c r="MJP42" s="222"/>
      <c r="MJQ42" s="223"/>
      <c r="MJR42" s="223"/>
      <c r="MJS42" s="224"/>
      <c r="MJT42" s="223"/>
      <c r="MJU42" s="223"/>
      <c r="MJV42" s="223"/>
      <c r="MJW42" s="223"/>
      <c r="MJX42" s="225"/>
      <c r="MJY42" s="220"/>
      <c r="MJZ42" s="221"/>
      <c r="MKA42" s="222"/>
      <c r="MKB42" s="222"/>
      <c r="MKC42" s="223"/>
      <c r="MKD42" s="223"/>
      <c r="MKE42" s="224"/>
      <c r="MKF42" s="223"/>
      <c r="MKG42" s="223"/>
      <c r="MKH42" s="223"/>
      <c r="MKI42" s="223"/>
      <c r="MKJ42" s="225"/>
      <c r="MKK42" s="220"/>
      <c r="MKL42" s="221"/>
      <c r="MKM42" s="222"/>
      <c r="MKN42" s="222"/>
      <c r="MKO42" s="223"/>
      <c r="MKP42" s="223"/>
      <c r="MKQ42" s="224"/>
      <c r="MKR42" s="223"/>
      <c r="MKS42" s="223"/>
      <c r="MKT42" s="223"/>
      <c r="MKU42" s="223"/>
      <c r="MKV42" s="225"/>
      <c r="MKW42" s="220"/>
      <c r="MKX42" s="221"/>
      <c r="MKY42" s="222"/>
      <c r="MKZ42" s="222"/>
      <c r="MLA42" s="223"/>
      <c r="MLB42" s="223"/>
      <c r="MLC42" s="224"/>
      <c r="MLD42" s="223"/>
      <c r="MLE42" s="223"/>
      <c r="MLF42" s="223"/>
      <c r="MLG42" s="223"/>
      <c r="MLH42" s="225"/>
      <c r="MLI42" s="220"/>
      <c r="MLJ42" s="221"/>
      <c r="MLK42" s="222"/>
      <c r="MLL42" s="222"/>
      <c r="MLM42" s="223"/>
      <c r="MLN42" s="223"/>
      <c r="MLO42" s="224"/>
      <c r="MLP42" s="223"/>
      <c r="MLQ42" s="223"/>
      <c r="MLR42" s="223"/>
      <c r="MLS42" s="223"/>
      <c r="MLT42" s="225"/>
      <c r="MLU42" s="220"/>
      <c r="MLV42" s="221"/>
      <c r="MLW42" s="222"/>
      <c r="MLX42" s="222"/>
      <c r="MLY42" s="223"/>
      <c r="MLZ42" s="223"/>
      <c r="MMA42" s="224"/>
      <c r="MMB42" s="223"/>
      <c r="MMC42" s="223"/>
      <c r="MMD42" s="223"/>
      <c r="MME42" s="223"/>
      <c r="MMF42" s="225"/>
      <c r="MMG42" s="220"/>
      <c r="MMH42" s="221"/>
      <c r="MMI42" s="222"/>
      <c r="MMJ42" s="222"/>
      <c r="MMK42" s="223"/>
      <c r="MML42" s="223"/>
      <c r="MMM42" s="224"/>
      <c r="MMN42" s="223"/>
      <c r="MMO42" s="223"/>
      <c r="MMP42" s="223"/>
      <c r="MMQ42" s="223"/>
      <c r="MMR42" s="225"/>
      <c r="MMS42" s="220"/>
      <c r="MMT42" s="221"/>
      <c r="MMU42" s="222"/>
      <c r="MMV42" s="222"/>
      <c r="MMW42" s="223"/>
      <c r="MMX42" s="223"/>
      <c r="MMY42" s="224"/>
      <c r="MMZ42" s="223"/>
      <c r="MNA42" s="223"/>
      <c r="MNB42" s="223"/>
      <c r="MNC42" s="223"/>
      <c r="MND42" s="225"/>
      <c r="MNE42" s="220"/>
      <c r="MNF42" s="221"/>
      <c r="MNG42" s="222"/>
      <c r="MNH42" s="222"/>
      <c r="MNI42" s="223"/>
      <c r="MNJ42" s="223"/>
      <c r="MNK42" s="224"/>
      <c r="MNL42" s="223"/>
      <c r="MNM42" s="223"/>
      <c r="MNN42" s="223"/>
      <c r="MNO42" s="223"/>
      <c r="MNP42" s="225"/>
      <c r="MNQ42" s="220"/>
      <c r="MNR42" s="221"/>
      <c r="MNS42" s="222"/>
      <c r="MNT42" s="222"/>
      <c r="MNU42" s="223"/>
      <c r="MNV42" s="223"/>
      <c r="MNW42" s="224"/>
      <c r="MNX42" s="223"/>
      <c r="MNY42" s="223"/>
      <c r="MNZ42" s="223"/>
      <c r="MOA42" s="223"/>
      <c r="MOB42" s="225"/>
      <c r="MOC42" s="220"/>
      <c r="MOD42" s="221"/>
      <c r="MOE42" s="222"/>
      <c r="MOF42" s="222"/>
      <c r="MOG42" s="223"/>
      <c r="MOH42" s="223"/>
      <c r="MOI42" s="224"/>
      <c r="MOJ42" s="223"/>
      <c r="MOK42" s="223"/>
      <c r="MOL42" s="223"/>
      <c r="MOM42" s="223"/>
      <c r="MON42" s="225"/>
      <c r="MOO42" s="220"/>
      <c r="MOP42" s="221"/>
      <c r="MOQ42" s="222"/>
      <c r="MOR42" s="222"/>
      <c r="MOS42" s="223"/>
      <c r="MOT42" s="223"/>
      <c r="MOU42" s="224"/>
      <c r="MOV42" s="223"/>
      <c r="MOW42" s="223"/>
      <c r="MOX42" s="223"/>
      <c r="MOY42" s="223"/>
      <c r="MOZ42" s="225"/>
      <c r="MPA42" s="220"/>
      <c r="MPB42" s="221"/>
      <c r="MPC42" s="222"/>
      <c r="MPD42" s="222"/>
      <c r="MPE42" s="223"/>
      <c r="MPF42" s="223"/>
      <c r="MPG42" s="224"/>
      <c r="MPH42" s="223"/>
      <c r="MPI42" s="223"/>
      <c r="MPJ42" s="223"/>
      <c r="MPK42" s="223"/>
      <c r="MPL42" s="225"/>
      <c r="MPM42" s="220"/>
      <c r="MPN42" s="221"/>
      <c r="MPO42" s="222"/>
      <c r="MPP42" s="222"/>
      <c r="MPQ42" s="223"/>
      <c r="MPR42" s="223"/>
      <c r="MPS42" s="224"/>
      <c r="MPT42" s="223"/>
      <c r="MPU42" s="223"/>
      <c r="MPV42" s="223"/>
      <c r="MPW42" s="223"/>
      <c r="MPX42" s="225"/>
      <c r="MPY42" s="220"/>
      <c r="MPZ42" s="221"/>
      <c r="MQA42" s="222"/>
      <c r="MQB42" s="222"/>
      <c r="MQC42" s="223"/>
      <c r="MQD42" s="223"/>
      <c r="MQE42" s="224"/>
      <c r="MQF42" s="223"/>
      <c r="MQG42" s="223"/>
      <c r="MQH42" s="223"/>
      <c r="MQI42" s="223"/>
      <c r="MQJ42" s="225"/>
      <c r="MQK42" s="220"/>
      <c r="MQL42" s="221"/>
      <c r="MQM42" s="222"/>
      <c r="MQN42" s="222"/>
      <c r="MQO42" s="223"/>
      <c r="MQP42" s="223"/>
      <c r="MQQ42" s="224"/>
      <c r="MQR42" s="223"/>
      <c r="MQS42" s="223"/>
      <c r="MQT42" s="223"/>
      <c r="MQU42" s="223"/>
      <c r="MQV42" s="225"/>
      <c r="MQW42" s="220"/>
      <c r="MQX42" s="221"/>
      <c r="MQY42" s="222"/>
      <c r="MQZ42" s="222"/>
      <c r="MRA42" s="223"/>
      <c r="MRB42" s="223"/>
      <c r="MRC42" s="224"/>
      <c r="MRD42" s="223"/>
      <c r="MRE42" s="223"/>
      <c r="MRF42" s="223"/>
      <c r="MRG42" s="223"/>
      <c r="MRH42" s="225"/>
      <c r="MRI42" s="220"/>
      <c r="MRJ42" s="221"/>
      <c r="MRK42" s="222"/>
      <c r="MRL42" s="222"/>
      <c r="MRM42" s="223"/>
      <c r="MRN42" s="223"/>
      <c r="MRO42" s="224"/>
      <c r="MRP42" s="223"/>
      <c r="MRQ42" s="223"/>
      <c r="MRR42" s="223"/>
      <c r="MRS42" s="223"/>
      <c r="MRT42" s="225"/>
      <c r="MRU42" s="220"/>
      <c r="MRV42" s="221"/>
      <c r="MRW42" s="222"/>
      <c r="MRX42" s="222"/>
      <c r="MRY42" s="223"/>
      <c r="MRZ42" s="223"/>
      <c r="MSA42" s="224"/>
      <c r="MSB42" s="223"/>
      <c r="MSC42" s="223"/>
      <c r="MSD42" s="223"/>
      <c r="MSE42" s="223"/>
      <c r="MSF42" s="225"/>
      <c r="MSG42" s="220"/>
      <c r="MSH42" s="221"/>
      <c r="MSI42" s="222"/>
      <c r="MSJ42" s="222"/>
      <c r="MSK42" s="223"/>
      <c r="MSL42" s="223"/>
      <c r="MSM42" s="224"/>
      <c r="MSN42" s="223"/>
      <c r="MSO42" s="223"/>
      <c r="MSP42" s="223"/>
      <c r="MSQ42" s="223"/>
      <c r="MSR42" s="225"/>
      <c r="MSS42" s="220"/>
      <c r="MST42" s="221"/>
      <c r="MSU42" s="222"/>
      <c r="MSV42" s="222"/>
      <c r="MSW42" s="223"/>
      <c r="MSX42" s="223"/>
      <c r="MSY42" s="224"/>
      <c r="MSZ42" s="223"/>
      <c r="MTA42" s="223"/>
      <c r="MTB42" s="223"/>
      <c r="MTC42" s="223"/>
      <c r="MTD42" s="225"/>
      <c r="MTE42" s="220"/>
      <c r="MTF42" s="221"/>
      <c r="MTG42" s="222"/>
      <c r="MTH42" s="222"/>
      <c r="MTI42" s="223"/>
      <c r="MTJ42" s="223"/>
      <c r="MTK42" s="224"/>
      <c r="MTL42" s="223"/>
      <c r="MTM42" s="223"/>
      <c r="MTN42" s="223"/>
      <c r="MTO42" s="223"/>
      <c r="MTP42" s="225"/>
      <c r="MTQ42" s="220"/>
      <c r="MTR42" s="221"/>
      <c r="MTS42" s="222"/>
      <c r="MTT42" s="222"/>
      <c r="MTU42" s="223"/>
      <c r="MTV42" s="223"/>
      <c r="MTW42" s="224"/>
      <c r="MTX42" s="223"/>
      <c r="MTY42" s="223"/>
      <c r="MTZ42" s="223"/>
      <c r="MUA42" s="223"/>
      <c r="MUB42" s="225"/>
      <c r="MUC42" s="220"/>
      <c r="MUD42" s="221"/>
      <c r="MUE42" s="222"/>
      <c r="MUF42" s="222"/>
      <c r="MUG42" s="223"/>
      <c r="MUH42" s="223"/>
      <c r="MUI42" s="224"/>
      <c r="MUJ42" s="223"/>
      <c r="MUK42" s="223"/>
      <c r="MUL42" s="223"/>
      <c r="MUM42" s="223"/>
      <c r="MUN42" s="225"/>
      <c r="MUO42" s="220"/>
      <c r="MUP42" s="221"/>
      <c r="MUQ42" s="222"/>
      <c r="MUR42" s="222"/>
      <c r="MUS42" s="223"/>
      <c r="MUT42" s="223"/>
      <c r="MUU42" s="224"/>
      <c r="MUV42" s="223"/>
      <c r="MUW42" s="223"/>
      <c r="MUX42" s="223"/>
      <c r="MUY42" s="223"/>
      <c r="MUZ42" s="225"/>
      <c r="MVA42" s="220"/>
      <c r="MVB42" s="221"/>
      <c r="MVC42" s="222"/>
      <c r="MVD42" s="222"/>
      <c r="MVE42" s="223"/>
      <c r="MVF42" s="223"/>
      <c r="MVG42" s="224"/>
      <c r="MVH42" s="223"/>
      <c r="MVI42" s="223"/>
      <c r="MVJ42" s="223"/>
      <c r="MVK42" s="223"/>
      <c r="MVL42" s="225"/>
      <c r="MVM42" s="220"/>
      <c r="MVN42" s="221"/>
      <c r="MVO42" s="222"/>
      <c r="MVP42" s="222"/>
      <c r="MVQ42" s="223"/>
      <c r="MVR42" s="223"/>
      <c r="MVS42" s="224"/>
      <c r="MVT42" s="223"/>
      <c r="MVU42" s="223"/>
      <c r="MVV42" s="223"/>
      <c r="MVW42" s="223"/>
      <c r="MVX42" s="225"/>
      <c r="MVY42" s="220"/>
      <c r="MVZ42" s="221"/>
      <c r="MWA42" s="222"/>
      <c r="MWB42" s="222"/>
      <c r="MWC42" s="223"/>
      <c r="MWD42" s="223"/>
      <c r="MWE42" s="224"/>
      <c r="MWF42" s="223"/>
      <c r="MWG42" s="223"/>
      <c r="MWH42" s="223"/>
      <c r="MWI42" s="223"/>
      <c r="MWJ42" s="225"/>
      <c r="MWK42" s="220"/>
      <c r="MWL42" s="221"/>
      <c r="MWM42" s="222"/>
      <c r="MWN42" s="222"/>
      <c r="MWO42" s="223"/>
      <c r="MWP42" s="223"/>
      <c r="MWQ42" s="224"/>
      <c r="MWR42" s="223"/>
      <c r="MWS42" s="223"/>
      <c r="MWT42" s="223"/>
      <c r="MWU42" s="223"/>
      <c r="MWV42" s="225"/>
      <c r="MWW42" s="220"/>
      <c r="MWX42" s="221"/>
      <c r="MWY42" s="222"/>
      <c r="MWZ42" s="222"/>
      <c r="MXA42" s="223"/>
      <c r="MXB42" s="223"/>
      <c r="MXC42" s="224"/>
      <c r="MXD42" s="223"/>
      <c r="MXE42" s="223"/>
      <c r="MXF42" s="223"/>
      <c r="MXG42" s="223"/>
      <c r="MXH42" s="225"/>
      <c r="MXI42" s="220"/>
      <c r="MXJ42" s="221"/>
      <c r="MXK42" s="222"/>
      <c r="MXL42" s="222"/>
      <c r="MXM42" s="223"/>
      <c r="MXN42" s="223"/>
      <c r="MXO42" s="224"/>
      <c r="MXP42" s="223"/>
      <c r="MXQ42" s="223"/>
      <c r="MXR42" s="223"/>
      <c r="MXS42" s="223"/>
      <c r="MXT42" s="225"/>
      <c r="MXU42" s="220"/>
      <c r="MXV42" s="221"/>
      <c r="MXW42" s="222"/>
      <c r="MXX42" s="222"/>
      <c r="MXY42" s="223"/>
      <c r="MXZ42" s="223"/>
      <c r="MYA42" s="224"/>
      <c r="MYB42" s="223"/>
      <c r="MYC42" s="223"/>
      <c r="MYD42" s="223"/>
      <c r="MYE42" s="223"/>
      <c r="MYF42" s="225"/>
      <c r="MYG42" s="220"/>
      <c r="MYH42" s="221"/>
      <c r="MYI42" s="222"/>
      <c r="MYJ42" s="222"/>
      <c r="MYK42" s="223"/>
      <c r="MYL42" s="223"/>
      <c r="MYM42" s="224"/>
      <c r="MYN42" s="223"/>
      <c r="MYO42" s="223"/>
      <c r="MYP42" s="223"/>
      <c r="MYQ42" s="223"/>
      <c r="MYR42" s="225"/>
      <c r="MYS42" s="220"/>
      <c r="MYT42" s="221"/>
      <c r="MYU42" s="222"/>
      <c r="MYV42" s="222"/>
      <c r="MYW42" s="223"/>
      <c r="MYX42" s="223"/>
      <c r="MYY42" s="224"/>
      <c r="MYZ42" s="223"/>
      <c r="MZA42" s="223"/>
      <c r="MZB42" s="223"/>
      <c r="MZC42" s="223"/>
      <c r="MZD42" s="225"/>
      <c r="MZE42" s="220"/>
      <c r="MZF42" s="221"/>
      <c r="MZG42" s="222"/>
      <c r="MZH42" s="222"/>
      <c r="MZI42" s="223"/>
      <c r="MZJ42" s="223"/>
      <c r="MZK42" s="224"/>
      <c r="MZL42" s="223"/>
      <c r="MZM42" s="223"/>
      <c r="MZN42" s="223"/>
      <c r="MZO42" s="223"/>
      <c r="MZP42" s="225"/>
      <c r="MZQ42" s="220"/>
      <c r="MZR42" s="221"/>
      <c r="MZS42" s="222"/>
      <c r="MZT42" s="222"/>
      <c r="MZU42" s="223"/>
      <c r="MZV42" s="223"/>
      <c r="MZW42" s="224"/>
      <c r="MZX42" s="223"/>
      <c r="MZY42" s="223"/>
      <c r="MZZ42" s="223"/>
      <c r="NAA42" s="223"/>
      <c r="NAB42" s="225"/>
      <c r="NAC42" s="220"/>
      <c r="NAD42" s="221"/>
      <c r="NAE42" s="222"/>
      <c r="NAF42" s="222"/>
      <c r="NAG42" s="223"/>
      <c r="NAH42" s="223"/>
      <c r="NAI42" s="224"/>
      <c r="NAJ42" s="223"/>
      <c r="NAK42" s="223"/>
      <c r="NAL42" s="223"/>
      <c r="NAM42" s="223"/>
      <c r="NAN42" s="225"/>
      <c r="NAO42" s="220"/>
      <c r="NAP42" s="221"/>
      <c r="NAQ42" s="222"/>
      <c r="NAR42" s="222"/>
      <c r="NAS42" s="223"/>
      <c r="NAT42" s="223"/>
      <c r="NAU42" s="224"/>
      <c r="NAV42" s="223"/>
      <c r="NAW42" s="223"/>
      <c r="NAX42" s="223"/>
      <c r="NAY42" s="223"/>
      <c r="NAZ42" s="225"/>
      <c r="NBA42" s="220"/>
      <c r="NBB42" s="221"/>
      <c r="NBC42" s="222"/>
      <c r="NBD42" s="222"/>
      <c r="NBE42" s="223"/>
      <c r="NBF42" s="223"/>
      <c r="NBG42" s="224"/>
      <c r="NBH42" s="223"/>
      <c r="NBI42" s="223"/>
      <c r="NBJ42" s="223"/>
      <c r="NBK42" s="223"/>
      <c r="NBL42" s="225"/>
      <c r="NBM42" s="220"/>
      <c r="NBN42" s="221"/>
      <c r="NBO42" s="222"/>
      <c r="NBP42" s="222"/>
      <c r="NBQ42" s="223"/>
      <c r="NBR42" s="223"/>
      <c r="NBS42" s="224"/>
      <c r="NBT42" s="223"/>
      <c r="NBU42" s="223"/>
      <c r="NBV42" s="223"/>
      <c r="NBW42" s="223"/>
      <c r="NBX42" s="225"/>
      <c r="NBY42" s="220"/>
      <c r="NBZ42" s="221"/>
      <c r="NCA42" s="222"/>
      <c r="NCB42" s="222"/>
      <c r="NCC42" s="223"/>
      <c r="NCD42" s="223"/>
      <c r="NCE42" s="224"/>
      <c r="NCF42" s="223"/>
      <c r="NCG42" s="223"/>
      <c r="NCH42" s="223"/>
      <c r="NCI42" s="223"/>
      <c r="NCJ42" s="225"/>
      <c r="NCK42" s="220"/>
      <c r="NCL42" s="221"/>
      <c r="NCM42" s="222"/>
      <c r="NCN42" s="222"/>
      <c r="NCO42" s="223"/>
      <c r="NCP42" s="223"/>
      <c r="NCQ42" s="224"/>
      <c r="NCR42" s="223"/>
      <c r="NCS42" s="223"/>
      <c r="NCT42" s="223"/>
      <c r="NCU42" s="223"/>
      <c r="NCV42" s="225"/>
      <c r="NCW42" s="220"/>
      <c r="NCX42" s="221"/>
      <c r="NCY42" s="222"/>
      <c r="NCZ42" s="222"/>
      <c r="NDA42" s="223"/>
      <c r="NDB42" s="223"/>
      <c r="NDC42" s="224"/>
      <c r="NDD42" s="223"/>
      <c r="NDE42" s="223"/>
      <c r="NDF42" s="223"/>
      <c r="NDG42" s="223"/>
      <c r="NDH42" s="225"/>
      <c r="NDI42" s="220"/>
      <c r="NDJ42" s="221"/>
      <c r="NDK42" s="222"/>
      <c r="NDL42" s="222"/>
      <c r="NDM42" s="223"/>
      <c r="NDN42" s="223"/>
      <c r="NDO42" s="224"/>
      <c r="NDP42" s="223"/>
      <c r="NDQ42" s="223"/>
      <c r="NDR42" s="223"/>
      <c r="NDS42" s="223"/>
      <c r="NDT42" s="225"/>
      <c r="NDU42" s="220"/>
      <c r="NDV42" s="221"/>
      <c r="NDW42" s="222"/>
      <c r="NDX42" s="222"/>
      <c r="NDY42" s="223"/>
      <c r="NDZ42" s="223"/>
      <c r="NEA42" s="224"/>
      <c r="NEB42" s="223"/>
      <c r="NEC42" s="223"/>
      <c r="NED42" s="223"/>
      <c r="NEE42" s="223"/>
      <c r="NEF42" s="225"/>
      <c r="NEG42" s="220"/>
      <c r="NEH42" s="221"/>
      <c r="NEI42" s="222"/>
      <c r="NEJ42" s="222"/>
      <c r="NEK42" s="223"/>
      <c r="NEL42" s="223"/>
      <c r="NEM42" s="224"/>
      <c r="NEN42" s="223"/>
      <c r="NEO42" s="223"/>
      <c r="NEP42" s="223"/>
      <c r="NEQ42" s="223"/>
      <c r="NER42" s="225"/>
      <c r="NES42" s="220"/>
      <c r="NET42" s="221"/>
      <c r="NEU42" s="222"/>
      <c r="NEV42" s="222"/>
      <c r="NEW42" s="223"/>
      <c r="NEX42" s="223"/>
      <c r="NEY42" s="224"/>
      <c r="NEZ42" s="223"/>
      <c r="NFA42" s="223"/>
      <c r="NFB42" s="223"/>
      <c r="NFC42" s="223"/>
      <c r="NFD42" s="225"/>
      <c r="NFE42" s="220"/>
      <c r="NFF42" s="221"/>
      <c r="NFG42" s="222"/>
      <c r="NFH42" s="222"/>
      <c r="NFI42" s="223"/>
      <c r="NFJ42" s="223"/>
      <c r="NFK42" s="224"/>
      <c r="NFL42" s="223"/>
      <c r="NFM42" s="223"/>
      <c r="NFN42" s="223"/>
      <c r="NFO42" s="223"/>
      <c r="NFP42" s="225"/>
      <c r="NFQ42" s="220"/>
      <c r="NFR42" s="221"/>
      <c r="NFS42" s="222"/>
      <c r="NFT42" s="222"/>
      <c r="NFU42" s="223"/>
      <c r="NFV42" s="223"/>
      <c r="NFW42" s="224"/>
      <c r="NFX42" s="223"/>
      <c r="NFY42" s="223"/>
      <c r="NFZ42" s="223"/>
      <c r="NGA42" s="223"/>
      <c r="NGB42" s="225"/>
      <c r="NGC42" s="220"/>
      <c r="NGD42" s="221"/>
      <c r="NGE42" s="222"/>
      <c r="NGF42" s="222"/>
      <c r="NGG42" s="223"/>
      <c r="NGH42" s="223"/>
      <c r="NGI42" s="224"/>
      <c r="NGJ42" s="223"/>
      <c r="NGK42" s="223"/>
      <c r="NGL42" s="223"/>
      <c r="NGM42" s="223"/>
      <c r="NGN42" s="225"/>
      <c r="NGO42" s="220"/>
      <c r="NGP42" s="221"/>
      <c r="NGQ42" s="222"/>
      <c r="NGR42" s="222"/>
      <c r="NGS42" s="223"/>
      <c r="NGT42" s="223"/>
      <c r="NGU42" s="224"/>
      <c r="NGV42" s="223"/>
      <c r="NGW42" s="223"/>
      <c r="NGX42" s="223"/>
      <c r="NGY42" s="223"/>
      <c r="NGZ42" s="225"/>
      <c r="NHA42" s="220"/>
      <c r="NHB42" s="221"/>
      <c r="NHC42" s="222"/>
      <c r="NHD42" s="222"/>
      <c r="NHE42" s="223"/>
      <c r="NHF42" s="223"/>
      <c r="NHG42" s="224"/>
      <c r="NHH42" s="223"/>
      <c r="NHI42" s="223"/>
      <c r="NHJ42" s="223"/>
      <c r="NHK42" s="223"/>
      <c r="NHL42" s="225"/>
      <c r="NHM42" s="220"/>
      <c r="NHN42" s="221"/>
      <c r="NHO42" s="222"/>
      <c r="NHP42" s="222"/>
      <c r="NHQ42" s="223"/>
      <c r="NHR42" s="223"/>
      <c r="NHS42" s="224"/>
      <c r="NHT42" s="223"/>
      <c r="NHU42" s="223"/>
      <c r="NHV42" s="223"/>
      <c r="NHW42" s="223"/>
      <c r="NHX42" s="225"/>
      <c r="NHY42" s="220"/>
      <c r="NHZ42" s="221"/>
      <c r="NIA42" s="222"/>
      <c r="NIB42" s="222"/>
      <c r="NIC42" s="223"/>
      <c r="NID42" s="223"/>
      <c r="NIE42" s="224"/>
      <c r="NIF42" s="223"/>
      <c r="NIG42" s="223"/>
      <c r="NIH42" s="223"/>
      <c r="NII42" s="223"/>
      <c r="NIJ42" s="225"/>
      <c r="NIK42" s="220"/>
      <c r="NIL42" s="221"/>
      <c r="NIM42" s="222"/>
      <c r="NIN42" s="222"/>
      <c r="NIO42" s="223"/>
      <c r="NIP42" s="223"/>
      <c r="NIQ42" s="224"/>
      <c r="NIR42" s="223"/>
      <c r="NIS42" s="223"/>
      <c r="NIT42" s="223"/>
      <c r="NIU42" s="223"/>
      <c r="NIV42" s="225"/>
      <c r="NIW42" s="220"/>
      <c r="NIX42" s="221"/>
      <c r="NIY42" s="222"/>
      <c r="NIZ42" s="222"/>
      <c r="NJA42" s="223"/>
      <c r="NJB42" s="223"/>
      <c r="NJC42" s="224"/>
      <c r="NJD42" s="223"/>
      <c r="NJE42" s="223"/>
      <c r="NJF42" s="223"/>
      <c r="NJG42" s="223"/>
      <c r="NJH42" s="225"/>
      <c r="NJI42" s="220"/>
      <c r="NJJ42" s="221"/>
      <c r="NJK42" s="222"/>
      <c r="NJL42" s="222"/>
      <c r="NJM42" s="223"/>
      <c r="NJN42" s="223"/>
      <c r="NJO42" s="224"/>
      <c r="NJP42" s="223"/>
      <c r="NJQ42" s="223"/>
      <c r="NJR42" s="223"/>
      <c r="NJS42" s="223"/>
      <c r="NJT42" s="225"/>
      <c r="NJU42" s="220"/>
      <c r="NJV42" s="221"/>
      <c r="NJW42" s="222"/>
      <c r="NJX42" s="222"/>
      <c r="NJY42" s="223"/>
      <c r="NJZ42" s="223"/>
      <c r="NKA42" s="224"/>
      <c r="NKB42" s="223"/>
      <c r="NKC42" s="223"/>
      <c r="NKD42" s="223"/>
      <c r="NKE42" s="223"/>
      <c r="NKF42" s="225"/>
      <c r="NKG42" s="220"/>
      <c r="NKH42" s="221"/>
      <c r="NKI42" s="222"/>
      <c r="NKJ42" s="222"/>
      <c r="NKK42" s="223"/>
      <c r="NKL42" s="223"/>
      <c r="NKM42" s="224"/>
      <c r="NKN42" s="223"/>
      <c r="NKO42" s="223"/>
      <c r="NKP42" s="223"/>
      <c r="NKQ42" s="223"/>
      <c r="NKR42" s="225"/>
      <c r="NKS42" s="220"/>
      <c r="NKT42" s="221"/>
      <c r="NKU42" s="222"/>
      <c r="NKV42" s="222"/>
      <c r="NKW42" s="223"/>
      <c r="NKX42" s="223"/>
      <c r="NKY42" s="224"/>
      <c r="NKZ42" s="223"/>
      <c r="NLA42" s="223"/>
      <c r="NLB42" s="223"/>
      <c r="NLC42" s="223"/>
      <c r="NLD42" s="225"/>
      <c r="NLE42" s="220"/>
      <c r="NLF42" s="221"/>
      <c r="NLG42" s="222"/>
      <c r="NLH42" s="222"/>
      <c r="NLI42" s="223"/>
      <c r="NLJ42" s="223"/>
      <c r="NLK42" s="224"/>
      <c r="NLL42" s="223"/>
      <c r="NLM42" s="223"/>
      <c r="NLN42" s="223"/>
      <c r="NLO42" s="223"/>
      <c r="NLP42" s="225"/>
      <c r="NLQ42" s="220"/>
      <c r="NLR42" s="221"/>
      <c r="NLS42" s="222"/>
      <c r="NLT42" s="222"/>
      <c r="NLU42" s="223"/>
      <c r="NLV42" s="223"/>
      <c r="NLW42" s="224"/>
      <c r="NLX42" s="223"/>
      <c r="NLY42" s="223"/>
      <c r="NLZ42" s="223"/>
      <c r="NMA42" s="223"/>
      <c r="NMB42" s="225"/>
      <c r="NMC42" s="220"/>
      <c r="NMD42" s="221"/>
      <c r="NME42" s="222"/>
      <c r="NMF42" s="222"/>
      <c r="NMG42" s="223"/>
      <c r="NMH42" s="223"/>
      <c r="NMI42" s="224"/>
      <c r="NMJ42" s="223"/>
      <c r="NMK42" s="223"/>
      <c r="NML42" s="223"/>
      <c r="NMM42" s="223"/>
      <c r="NMN42" s="225"/>
      <c r="NMO42" s="220"/>
      <c r="NMP42" s="221"/>
      <c r="NMQ42" s="222"/>
      <c r="NMR42" s="222"/>
      <c r="NMS42" s="223"/>
      <c r="NMT42" s="223"/>
      <c r="NMU42" s="224"/>
      <c r="NMV42" s="223"/>
      <c r="NMW42" s="223"/>
      <c r="NMX42" s="223"/>
      <c r="NMY42" s="223"/>
      <c r="NMZ42" s="225"/>
      <c r="NNA42" s="220"/>
      <c r="NNB42" s="221"/>
      <c r="NNC42" s="222"/>
      <c r="NND42" s="222"/>
      <c r="NNE42" s="223"/>
      <c r="NNF42" s="223"/>
      <c r="NNG42" s="224"/>
      <c r="NNH42" s="223"/>
      <c r="NNI42" s="223"/>
      <c r="NNJ42" s="223"/>
      <c r="NNK42" s="223"/>
      <c r="NNL42" s="225"/>
      <c r="NNM42" s="220"/>
      <c r="NNN42" s="221"/>
      <c r="NNO42" s="222"/>
      <c r="NNP42" s="222"/>
      <c r="NNQ42" s="223"/>
      <c r="NNR42" s="223"/>
      <c r="NNS42" s="224"/>
      <c r="NNT42" s="223"/>
      <c r="NNU42" s="223"/>
      <c r="NNV42" s="223"/>
      <c r="NNW42" s="223"/>
      <c r="NNX42" s="225"/>
      <c r="NNY42" s="220"/>
      <c r="NNZ42" s="221"/>
      <c r="NOA42" s="222"/>
      <c r="NOB42" s="222"/>
      <c r="NOC42" s="223"/>
      <c r="NOD42" s="223"/>
      <c r="NOE42" s="224"/>
      <c r="NOF42" s="223"/>
      <c r="NOG42" s="223"/>
      <c r="NOH42" s="223"/>
      <c r="NOI42" s="223"/>
      <c r="NOJ42" s="225"/>
      <c r="NOK42" s="220"/>
      <c r="NOL42" s="221"/>
      <c r="NOM42" s="222"/>
      <c r="NON42" s="222"/>
      <c r="NOO42" s="223"/>
      <c r="NOP42" s="223"/>
      <c r="NOQ42" s="224"/>
      <c r="NOR42" s="223"/>
      <c r="NOS42" s="223"/>
      <c r="NOT42" s="223"/>
      <c r="NOU42" s="223"/>
      <c r="NOV42" s="225"/>
      <c r="NOW42" s="220"/>
      <c r="NOX42" s="221"/>
      <c r="NOY42" s="222"/>
      <c r="NOZ42" s="222"/>
      <c r="NPA42" s="223"/>
      <c r="NPB42" s="223"/>
      <c r="NPC42" s="224"/>
      <c r="NPD42" s="223"/>
      <c r="NPE42" s="223"/>
      <c r="NPF42" s="223"/>
      <c r="NPG42" s="223"/>
      <c r="NPH42" s="225"/>
      <c r="NPI42" s="220"/>
      <c r="NPJ42" s="221"/>
      <c r="NPK42" s="222"/>
      <c r="NPL42" s="222"/>
      <c r="NPM42" s="223"/>
      <c r="NPN42" s="223"/>
      <c r="NPO42" s="224"/>
      <c r="NPP42" s="223"/>
      <c r="NPQ42" s="223"/>
      <c r="NPR42" s="223"/>
      <c r="NPS42" s="223"/>
      <c r="NPT42" s="225"/>
      <c r="NPU42" s="220"/>
      <c r="NPV42" s="221"/>
      <c r="NPW42" s="222"/>
      <c r="NPX42" s="222"/>
      <c r="NPY42" s="223"/>
      <c r="NPZ42" s="223"/>
      <c r="NQA42" s="224"/>
      <c r="NQB42" s="223"/>
      <c r="NQC42" s="223"/>
      <c r="NQD42" s="223"/>
      <c r="NQE42" s="223"/>
      <c r="NQF42" s="225"/>
      <c r="NQG42" s="220"/>
      <c r="NQH42" s="221"/>
      <c r="NQI42" s="222"/>
      <c r="NQJ42" s="222"/>
      <c r="NQK42" s="223"/>
      <c r="NQL42" s="223"/>
      <c r="NQM42" s="224"/>
      <c r="NQN42" s="223"/>
      <c r="NQO42" s="223"/>
      <c r="NQP42" s="223"/>
      <c r="NQQ42" s="223"/>
      <c r="NQR42" s="225"/>
      <c r="NQS42" s="220"/>
      <c r="NQT42" s="221"/>
      <c r="NQU42" s="222"/>
      <c r="NQV42" s="222"/>
      <c r="NQW42" s="223"/>
      <c r="NQX42" s="223"/>
      <c r="NQY42" s="224"/>
      <c r="NQZ42" s="223"/>
      <c r="NRA42" s="223"/>
      <c r="NRB42" s="223"/>
      <c r="NRC42" s="223"/>
      <c r="NRD42" s="225"/>
      <c r="NRE42" s="220"/>
      <c r="NRF42" s="221"/>
      <c r="NRG42" s="222"/>
      <c r="NRH42" s="222"/>
      <c r="NRI42" s="223"/>
      <c r="NRJ42" s="223"/>
      <c r="NRK42" s="224"/>
      <c r="NRL42" s="223"/>
      <c r="NRM42" s="223"/>
      <c r="NRN42" s="223"/>
      <c r="NRO42" s="223"/>
      <c r="NRP42" s="225"/>
      <c r="NRQ42" s="220"/>
      <c r="NRR42" s="221"/>
      <c r="NRS42" s="222"/>
      <c r="NRT42" s="222"/>
      <c r="NRU42" s="223"/>
      <c r="NRV42" s="223"/>
      <c r="NRW42" s="224"/>
      <c r="NRX42" s="223"/>
      <c r="NRY42" s="223"/>
      <c r="NRZ42" s="223"/>
      <c r="NSA42" s="223"/>
      <c r="NSB42" s="225"/>
      <c r="NSC42" s="220"/>
      <c r="NSD42" s="221"/>
      <c r="NSE42" s="222"/>
      <c r="NSF42" s="222"/>
      <c r="NSG42" s="223"/>
      <c r="NSH42" s="223"/>
      <c r="NSI42" s="224"/>
      <c r="NSJ42" s="223"/>
      <c r="NSK42" s="223"/>
      <c r="NSL42" s="223"/>
      <c r="NSM42" s="223"/>
      <c r="NSN42" s="225"/>
      <c r="NSO42" s="220"/>
      <c r="NSP42" s="221"/>
      <c r="NSQ42" s="222"/>
      <c r="NSR42" s="222"/>
      <c r="NSS42" s="223"/>
      <c r="NST42" s="223"/>
      <c r="NSU42" s="224"/>
      <c r="NSV42" s="223"/>
      <c r="NSW42" s="223"/>
      <c r="NSX42" s="223"/>
      <c r="NSY42" s="223"/>
      <c r="NSZ42" s="225"/>
      <c r="NTA42" s="220"/>
      <c r="NTB42" s="221"/>
      <c r="NTC42" s="222"/>
      <c r="NTD42" s="222"/>
      <c r="NTE42" s="223"/>
      <c r="NTF42" s="223"/>
      <c r="NTG42" s="224"/>
      <c r="NTH42" s="223"/>
      <c r="NTI42" s="223"/>
      <c r="NTJ42" s="223"/>
      <c r="NTK42" s="223"/>
      <c r="NTL42" s="225"/>
      <c r="NTM42" s="220"/>
      <c r="NTN42" s="221"/>
      <c r="NTO42" s="222"/>
      <c r="NTP42" s="222"/>
      <c r="NTQ42" s="223"/>
      <c r="NTR42" s="223"/>
      <c r="NTS42" s="224"/>
      <c r="NTT42" s="223"/>
      <c r="NTU42" s="223"/>
      <c r="NTV42" s="223"/>
      <c r="NTW42" s="223"/>
      <c r="NTX42" s="225"/>
      <c r="NTY42" s="220"/>
      <c r="NTZ42" s="221"/>
      <c r="NUA42" s="222"/>
      <c r="NUB42" s="222"/>
      <c r="NUC42" s="223"/>
      <c r="NUD42" s="223"/>
      <c r="NUE42" s="224"/>
      <c r="NUF42" s="223"/>
      <c r="NUG42" s="223"/>
      <c r="NUH42" s="223"/>
      <c r="NUI42" s="223"/>
      <c r="NUJ42" s="225"/>
      <c r="NUK42" s="220"/>
      <c r="NUL42" s="221"/>
      <c r="NUM42" s="222"/>
      <c r="NUN42" s="222"/>
      <c r="NUO42" s="223"/>
      <c r="NUP42" s="223"/>
      <c r="NUQ42" s="224"/>
      <c r="NUR42" s="223"/>
      <c r="NUS42" s="223"/>
      <c r="NUT42" s="223"/>
      <c r="NUU42" s="223"/>
      <c r="NUV42" s="225"/>
      <c r="NUW42" s="220"/>
      <c r="NUX42" s="221"/>
      <c r="NUY42" s="222"/>
      <c r="NUZ42" s="222"/>
      <c r="NVA42" s="223"/>
      <c r="NVB42" s="223"/>
      <c r="NVC42" s="224"/>
      <c r="NVD42" s="223"/>
      <c r="NVE42" s="223"/>
      <c r="NVF42" s="223"/>
      <c r="NVG42" s="223"/>
      <c r="NVH42" s="225"/>
      <c r="NVI42" s="220"/>
      <c r="NVJ42" s="221"/>
      <c r="NVK42" s="222"/>
      <c r="NVL42" s="222"/>
      <c r="NVM42" s="223"/>
      <c r="NVN42" s="223"/>
      <c r="NVO42" s="224"/>
      <c r="NVP42" s="223"/>
      <c r="NVQ42" s="223"/>
      <c r="NVR42" s="223"/>
      <c r="NVS42" s="223"/>
      <c r="NVT42" s="225"/>
      <c r="NVU42" s="220"/>
      <c r="NVV42" s="221"/>
      <c r="NVW42" s="222"/>
      <c r="NVX42" s="222"/>
      <c r="NVY42" s="223"/>
      <c r="NVZ42" s="223"/>
      <c r="NWA42" s="224"/>
      <c r="NWB42" s="223"/>
      <c r="NWC42" s="223"/>
      <c r="NWD42" s="223"/>
      <c r="NWE42" s="223"/>
      <c r="NWF42" s="225"/>
      <c r="NWG42" s="220"/>
      <c r="NWH42" s="221"/>
      <c r="NWI42" s="222"/>
      <c r="NWJ42" s="222"/>
      <c r="NWK42" s="223"/>
      <c r="NWL42" s="223"/>
      <c r="NWM42" s="224"/>
      <c r="NWN42" s="223"/>
      <c r="NWO42" s="223"/>
      <c r="NWP42" s="223"/>
      <c r="NWQ42" s="223"/>
      <c r="NWR42" s="225"/>
      <c r="NWS42" s="220"/>
      <c r="NWT42" s="221"/>
      <c r="NWU42" s="222"/>
      <c r="NWV42" s="222"/>
      <c r="NWW42" s="223"/>
      <c r="NWX42" s="223"/>
      <c r="NWY42" s="224"/>
      <c r="NWZ42" s="223"/>
      <c r="NXA42" s="223"/>
      <c r="NXB42" s="223"/>
      <c r="NXC42" s="223"/>
      <c r="NXD42" s="225"/>
      <c r="NXE42" s="220"/>
      <c r="NXF42" s="221"/>
      <c r="NXG42" s="222"/>
      <c r="NXH42" s="222"/>
      <c r="NXI42" s="223"/>
      <c r="NXJ42" s="223"/>
      <c r="NXK42" s="224"/>
      <c r="NXL42" s="223"/>
      <c r="NXM42" s="223"/>
      <c r="NXN42" s="223"/>
      <c r="NXO42" s="223"/>
      <c r="NXP42" s="225"/>
      <c r="NXQ42" s="220"/>
      <c r="NXR42" s="221"/>
      <c r="NXS42" s="222"/>
      <c r="NXT42" s="222"/>
      <c r="NXU42" s="223"/>
      <c r="NXV42" s="223"/>
      <c r="NXW42" s="224"/>
      <c r="NXX42" s="223"/>
      <c r="NXY42" s="223"/>
      <c r="NXZ42" s="223"/>
      <c r="NYA42" s="223"/>
      <c r="NYB42" s="225"/>
      <c r="NYC42" s="220"/>
      <c r="NYD42" s="221"/>
      <c r="NYE42" s="222"/>
      <c r="NYF42" s="222"/>
      <c r="NYG42" s="223"/>
      <c r="NYH42" s="223"/>
      <c r="NYI42" s="224"/>
      <c r="NYJ42" s="223"/>
      <c r="NYK42" s="223"/>
      <c r="NYL42" s="223"/>
      <c r="NYM42" s="223"/>
      <c r="NYN42" s="225"/>
      <c r="NYO42" s="220"/>
      <c r="NYP42" s="221"/>
      <c r="NYQ42" s="222"/>
      <c r="NYR42" s="222"/>
      <c r="NYS42" s="223"/>
      <c r="NYT42" s="223"/>
      <c r="NYU42" s="224"/>
      <c r="NYV42" s="223"/>
      <c r="NYW42" s="223"/>
      <c r="NYX42" s="223"/>
      <c r="NYY42" s="223"/>
      <c r="NYZ42" s="225"/>
      <c r="NZA42" s="220"/>
      <c r="NZB42" s="221"/>
      <c r="NZC42" s="222"/>
      <c r="NZD42" s="222"/>
      <c r="NZE42" s="223"/>
      <c r="NZF42" s="223"/>
      <c r="NZG42" s="224"/>
      <c r="NZH42" s="223"/>
      <c r="NZI42" s="223"/>
      <c r="NZJ42" s="223"/>
      <c r="NZK42" s="223"/>
      <c r="NZL42" s="225"/>
      <c r="NZM42" s="220"/>
      <c r="NZN42" s="221"/>
      <c r="NZO42" s="222"/>
      <c r="NZP42" s="222"/>
      <c r="NZQ42" s="223"/>
      <c r="NZR42" s="223"/>
      <c r="NZS42" s="224"/>
      <c r="NZT42" s="223"/>
      <c r="NZU42" s="223"/>
      <c r="NZV42" s="223"/>
      <c r="NZW42" s="223"/>
      <c r="NZX42" s="225"/>
      <c r="NZY42" s="220"/>
      <c r="NZZ42" s="221"/>
      <c r="OAA42" s="222"/>
      <c r="OAB42" s="222"/>
      <c r="OAC42" s="223"/>
      <c r="OAD42" s="223"/>
      <c r="OAE42" s="224"/>
      <c r="OAF42" s="223"/>
      <c r="OAG42" s="223"/>
      <c r="OAH42" s="223"/>
      <c r="OAI42" s="223"/>
      <c r="OAJ42" s="225"/>
      <c r="OAK42" s="220"/>
      <c r="OAL42" s="221"/>
      <c r="OAM42" s="222"/>
      <c r="OAN42" s="222"/>
      <c r="OAO42" s="223"/>
      <c r="OAP42" s="223"/>
      <c r="OAQ42" s="224"/>
      <c r="OAR42" s="223"/>
      <c r="OAS42" s="223"/>
      <c r="OAT42" s="223"/>
      <c r="OAU42" s="223"/>
      <c r="OAV42" s="225"/>
      <c r="OAW42" s="220"/>
      <c r="OAX42" s="221"/>
      <c r="OAY42" s="222"/>
      <c r="OAZ42" s="222"/>
      <c r="OBA42" s="223"/>
      <c r="OBB42" s="223"/>
      <c r="OBC42" s="224"/>
      <c r="OBD42" s="223"/>
      <c r="OBE42" s="223"/>
      <c r="OBF42" s="223"/>
      <c r="OBG42" s="223"/>
      <c r="OBH42" s="225"/>
      <c r="OBI42" s="220"/>
      <c r="OBJ42" s="221"/>
      <c r="OBK42" s="222"/>
      <c r="OBL42" s="222"/>
      <c r="OBM42" s="223"/>
      <c r="OBN42" s="223"/>
      <c r="OBO42" s="224"/>
      <c r="OBP42" s="223"/>
      <c r="OBQ42" s="223"/>
      <c r="OBR42" s="223"/>
      <c r="OBS42" s="223"/>
      <c r="OBT42" s="225"/>
      <c r="OBU42" s="220"/>
      <c r="OBV42" s="221"/>
      <c r="OBW42" s="222"/>
      <c r="OBX42" s="222"/>
      <c r="OBY42" s="223"/>
      <c r="OBZ42" s="223"/>
      <c r="OCA42" s="224"/>
      <c r="OCB42" s="223"/>
      <c r="OCC42" s="223"/>
      <c r="OCD42" s="223"/>
      <c r="OCE42" s="223"/>
      <c r="OCF42" s="225"/>
      <c r="OCG42" s="220"/>
      <c r="OCH42" s="221"/>
      <c r="OCI42" s="222"/>
      <c r="OCJ42" s="222"/>
      <c r="OCK42" s="223"/>
      <c r="OCL42" s="223"/>
      <c r="OCM42" s="224"/>
      <c r="OCN42" s="223"/>
      <c r="OCO42" s="223"/>
      <c r="OCP42" s="223"/>
      <c r="OCQ42" s="223"/>
      <c r="OCR42" s="225"/>
      <c r="OCS42" s="220"/>
      <c r="OCT42" s="221"/>
      <c r="OCU42" s="222"/>
      <c r="OCV42" s="222"/>
      <c r="OCW42" s="223"/>
      <c r="OCX42" s="223"/>
      <c r="OCY42" s="224"/>
      <c r="OCZ42" s="223"/>
      <c r="ODA42" s="223"/>
      <c r="ODB42" s="223"/>
      <c r="ODC42" s="223"/>
      <c r="ODD42" s="225"/>
      <c r="ODE42" s="220"/>
      <c r="ODF42" s="221"/>
      <c r="ODG42" s="222"/>
      <c r="ODH42" s="222"/>
      <c r="ODI42" s="223"/>
      <c r="ODJ42" s="223"/>
      <c r="ODK42" s="224"/>
      <c r="ODL42" s="223"/>
      <c r="ODM42" s="223"/>
      <c r="ODN42" s="223"/>
      <c r="ODO42" s="223"/>
      <c r="ODP42" s="225"/>
      <c r="ODQ42" s="220"/>
      <c r="ODR42" s="221"/>
      <c r="ODS42" s="222"/>
      <c r="ODT42" s="222"/>
      <c r="ODU42" s="223"/>
      <c r="ODV42" s="223"/>
      <c r="ODW42" s="224"/>
      <c r="ODX42" s="223"/>
      <c r="ODY42" s="223"/>
      <c r="ODZ42" s="223"/>
      <c r="OEA42" s="223"/>
      <c r="OEB42" s="225"/>
      <c r="OEC42" s="220"/>
      <c r="OED42" s="221"/>
      <c r="OEE42" s="222"/>
      <c r="OEF42" s="222"/>
      <c r="OEG42" s="223"/>
      <c r="OEH42" s="223"/>
      <c r="OEI42" s="224"/>
      <c r="OEJ42" s="223"/>
      <c r="OEK42" s="223"/>
      <c r="OEL42" s="223"/>
      <c r="OEM42" s="223"/>
      <c r="OEN42" s="225"/>
      <c r="OEO42" s="220"/>
      <c r="OEP42" s="221"/>
      <c r="OEQ42" s="222"/>
      <c r="OER42" s="222"/>
      <c r="OES42" s="223"/>
      <c r="OET42" s="223"/>
      <c r="OEU42" s="224"/>
      <c r="OEV42" s="223"/>
      <c r="OEW42" s="223"/>
      <c r="OEX42" s="223"/>
      <c r="OEY42" s="223"/>
      <c r="OEZ42" s="225"/>
      <c r="OFA42" s="220"/>
      <c r="OFB42" s="221"/>
      <c r="OFC42" s="222"/>
      <c r="OFD42" s="222"/>
      <c r="OFE42" s="223"/>
      <c r="OFF42" s="223"/>
      <c r="OFG42" s="224"/>
      <c r="OFH42" s="223"/>
      <c r="OFI42" s="223"/>
      <c r="OFJ42" s="223"/>
      <c r="OFK42" s="223"/>
      <c r="OFL42" s="225"/>
      <c r="OFM42" s="220"/>
      <c r="OFN42" s="221"/>
      <c r="OFO42" s="222"/>
      <c r="OFP42" s="222"/>
      <c r="OFQ42" s="223"/>
      <c r="OFR42" s="223"/>
      <c r="OFS42" s="224"/>
      <c r="OFT42" s="223"/>
      <c r="OFU42" s="223"/>
      <c r="OFV42" s="223"/>
      <c r="OFW42" s="223"/>
      <c r="OFX42" s="225"/>
      <c r="OFY42" s="220"/>
      <c r="OFZ42" s="221"/>
      <c r="OGA42" s="222"/>
      <c r="OGB42" s="222"/>
      <c r="OGC42" s="223"/>
      <c r="OGD42" s="223"/>
      <c r="OGE42" s="224"/>
      <c r="OGF42" s="223"/>
      <c r="OGG42" s="223"/>
      <c r="OGH42" s="223"/>
      <c r="OGI42" s="223"/>
      <c r="OGJ42" s="225"/>
      <c r="OGK42" s="220"/>
      <c r="OGL42" s="221"/>
      <c r="OGM42" s="222"/>
      <c r="OGN42" s="222"/>
      <c r="OGO42" s="223"/>
      <c r="OGP42" s="223"/>
      <c r="OGQ42" s="224"/>
      <c r="OGR42" s="223"/>
      <c r="OGS42" s="223"/>
      <c r="OGT42" s="223"/>
      <c r="OGU42" s="223"/>
      <c r="OGV42" s="225"/>
      <c r="OGW42" s="220"/>
      <c r="OGX42" s="221"/>
      <c r="OGY42" s="222"/>
      <c r="OGZ42" s="222"/>
      <c r="OHA42" s="223"/>
      <c r="OHB42" s="223"/>
      <c r="OHC42" s="224"/>
      <c r="OHD42" s="223"/>
      <c r="OHE42" s="223"/>
      <c r="OHF42" s="223"/>
      <c r="OHG42" s="223"/>
      <c r="OHH42" s="225"/>
      <c r="OHI42" s="220"/>
      <c r="OHJ42" s="221"/>
      <c r="OHK42" s="222"/>
      <c r="OHL42" s="222"/>
      <c r="OHM42" s="223"/>
      <c r="OHN42" s="223"/>
      <c r="OHO42" s="224"/>
      <c r="OHP42" s="223"/>
      <c r="OHQ42" s="223"/>
      <c r="OHR42" s="223"/>
      <c r="OHS42" s="223"/>
      <c r="OHT42" s="225"/>
      <c r="OHU42" s="220"/>
      <c r="OHV42" s="221"/>
      <c r="OHW42" s="222"/>
      <c r="OHX42" s="222"/>
      <c r="OHY42" s="223"/>
      <c r="OHZ42" s="223"/>
      <c r="OIA42" s="224"/>
      <c r="OIB42" s="223"/>
      <c r="OIC42" s="223"/>
      <c r="OID42" s="223"/>
      <c r="OIE42" s="223"/>
      <c r="OIF42" s="225"/>
      <c r="OIG42" s="220"/>
      <c r="OIH42" s="221"/>
      <c r="OII42" s="222"/>
      <c r="OIJ42" s="222"/>
      <c r="OIK42" s="223"/>
      <c r="OIL42" s="223"/>
      <c r="OIM42" s="224"/>
      <c r="OIN42" s="223"/>
      <c r="OIO42" s="223"/>
      <c r="OIP42" s="223"/>
      <c r="OIQ42" s="223"/>
      <c r="OIR42" s="225"/>
      <c r="OIS42" s="220"/>
      <c r="OIT42" s="221"/>
      <c r="OIU42" s="222"/>
      <c r="OIV42" s="222"/>
      <c r="OIW42" s="223"/>
      <c r="OIX42" s="223"/>
      <c r="OIY42" s="224"/>
      <c r="OIZ42" s="223"/>
      <c r="OJA42" s="223"/>
      <c r="OJB42" s="223"/>
      <c r="OJC42" s="223"/>
      <c r="OJD42" s="225"/>
      <c r="OJE42" s="220"/>
      <c r="OJF42" s="221"/>
      <c r="OJG42" s="222"/>
      <c r="OJH42" s="222"/>
      <c r="OJI42" s="223"/>
      <c r="OJJ42" s="223"/>
      <c r="OJK42" s="224"/>
      <c r="OJL42" s="223"/>
      <c r="OJM42" s="223"/>
      <c r="OJN42" s="223"/>
      <c r="OJO42" s="223"/>
      <c r="OJP42" s="225"/>
      <c r="OJQ42" s="220"/>
      <c r="OJR42" s="221"/>
      <c r="OJS42" s="222"/>
      <c r="OJT42" s="222"/>
      <c r="OJU42" s="223"/>
      <c r="OJV42" s="223"/>
      <c r="OJW42" s="224"/>
      <c r="OJX42" s="223"/>
      <c r="OJY42" s="223"/>
      <c r="OJZ42" s="223"/>
      <c r="OKA42" s="223"/>
      <c r="OKB42" s="225"/>
      <c r="OKC42" s="220"/>
      <c r="OKD42" s="221"/>
      <c r="OKE42" s="222"/>
      <c r="OKF42" s="222"/>
      <c r="OKG42" s="223"/>
      <c r="OKH42" s="223"/>
      <c r="OKI42" s="224"/>
      <c r="OKJ42" s="223"/>
      <c r="OKK42" s="223"/>
      <c r="OKL42" s="223"/>
      <c r="OKM42" s="223"/>
      <c r="OKN42" s="225"/>
      <c r="OKO42" s="220"/>
      <c r="OKP42" s="221"/>
      <c r="OKQ42" s="222"/>
      <c r="OKR42" s="222"/>
      <c r="OKS42" s="223"/>
      <c r="OKT42" s="223"/>
      <c r="OKU42" s="224"/>
      <c r="OKV42" s="223"/>
      <c r="OKW42" s="223"/>
      <c r="OKX42" s="223"/>
      <c r="OKY42" s="223"/>
      <c r="OKZ42" s="225"/>
      <c r="OLA42" s="220"/>
      <c r="OLB42" s="221"/>
      <c r="OLC42" s="222"/>
      <c r="OLD42" s="222"/>
      <c r="OLE42" s="223"/>
      <c r="OLF42" s="223"/>
      <c r="OLG42" s="224"/>
      <c r="OLH42" s="223"/>
      <c r="OLI42" s="223"/>
      <c r="OLJ42" s="223"/>
      <c r="OLK42" s="223"/>
      <c r="OLL42" s="225"/>
      <c r="OLM42" s="220"/>
      <c r="OLN42" s="221"/>
      <c r="OLO42" s="222"/>
      <c r="OLP42" s="222"/>
      <c r="OLQ42" s="223"/>
      <c r="OLR42" s="223"/>
      <c r="OLS42" s="224"/>
      <c r="OLT42" s="223"/>
      <c r="OLU42" s="223"/>
      <c r="OLV42" s="223"/>
      <c r="OLW42" s="223"/>
      <c r="OLX42" s="225"/>
      <c r="OLY42" s="220"/>
      <c r="OLZ42" s="221"/>
      <c r="OMA42" s="222"/>
      <c r="OMB42" s="222"/>
      <c r="OMC42" s="223"/>
      <c r="OMD42" s="223"/>
      <c r="OME42" s="224"/>
      <c r="OMF42" s="223"/>
      <c r="OMG42" s="223"/>
      <c r="OMH42" s="223"/>
      <c r="OMI42" s="223"/>
      <c r="OMJ42" s="225"/>
      <c r="OMK42" s="220"/>
      <c r="OML42" s="221"/>
      <c r="OMM42" s="222"/>
      <c r="OMN42" s="222"/>
      <c r="OMO42" s="223"/>
      <c r="OMP42" s="223"/>
      <c r="OMQ42" s="224"/>
      <c r="OMR42" s="223"/>
      <c r="OMS42" s="223"/>
      <c r="OMT42" s="223"/>
      <c r="OMU42" s="223"/>
      <c r="OMV42" s="225"/>
      <c r="OMW42" s="220"/>
      <c r="OMX42" s="221"/>
      <c r="OMY42" s="222"/>
      <c r="OMZ42" s="222"/>
      <c r="ONA42" s="223"/>
      <c r="ONB42" s="223"/>
      <c r="ONC42" s="224"/>
      <c r="OND42" s="223"/>
      <c r="ONE42" s="223"/>
      <c r="ONF42" s="223"/>
      <c r="ONG42" s="223"/>
      <c r="ONH42" s="225"/>
      <c r="ONI42" s="220"/>
      <c r="ONJ42" s="221"/>
      <c r="ONK42" s="222"/>
      <c r="ONL42" s="222"/>
      <c r="ONM42" s="223"/>
      <c r="ONN42" s="223"/>
      <c r="ONO42" s="224"/>
      <c r="ONP42" s="223"/>
      <c r="ONQ42" s="223"/>
      <c r="ONR42" s="223"/>
      <c r="ONS42" s="223"/>
      <c r="ONT42" s="225"/>
      <c r="ONU42" s="220"/>
      <c r="ONV42" s="221"/>
      <c r="ONW42" s="222"/>
      <c r="ONX42" s="222"/>
      <c r="ONY42" s="223"/>
      <c r="ONZ42" s="223"/>
      <c r="OOA42" s="224"/>
      <c r="OOB42" s="223"/>
      <c r="OOC42" s="223"/>
      <c r="OOD42" s="223"/>
      <c r="OOE42" s="223"/>
      <c r="OOF42" s="225"/>
      <c r="OOG42" s="220"/>
      <c r="OOH42" s="221"/>
      <c r="OOI42" s="222"/>
      <c r="OOJ42" s="222"/>
      <c r="OOK42" s="223"/>
      <c r="OOL42" s="223"/>
      <c r="OOM42" s="224"/>
      <c r="OON42" s="223"/>
      <c r="OOO42" s="223"/>
      <c r="OOP42" s="223"/>
      <c r="OOQ42" s="223"/>
      <c r="OOR42" s="225"/>
      <c r="OOS42" s="220"/>
      <c r="OOT42" s="221"/>
      <c r="OOU42" s="222"/>
      <c r="OOV42" s="222"/>
      <c r="OOW42" s="223"/>
      <c r="OOX42" s="223"/>
      <c r="OOY42" s="224"/>
      <c r="OOZ42" s="223"/>
      <c r="OPA42" s="223"/>
      <c r="OPB42" s="223"/>
      <c r="OPC42" s="223"/>
      <c r="OPD42" s="225"/>
      <c r="OPE42" s="220"/>
      <c r="OPF42" s="221"/>
      <c r="OPG42" s="222"/>
      <c r="OPH42" s="222"/>
      <c r="OPI42" s="223"/>
      <c r="OPJ42" s="223"/>
      <c r="OPK42" s="224"/>
      <c r="OPL42" s="223"/>
      <c r="OPM42" s="223"/>
      <c r="OPN42" s="223"/>
      <c r="OPO42" s="223"/>
      <c r="OPP42" s="225"/>
      <c r="OPQ42" s="220"/>
      <c r="OPR42" s="221"/>
      <c r="OPS42" s="222"/>
      <c r="OPT42" s="222"/>
      <c r="OPU42" s="223"/>
      <c r="OPV42" s="223"/>
      <c r="OPW42" s="224"/>
      <c r="OPX42" s="223"/>
      <c r="OPY42" s="223"/>
      <c r="OPZ42" s="223"/>
      <c r="OQA42" s="223"/>
      <c r="OQB42" s="225"/>
      <c r="OQC42" s="220"/>
      <c r="OQD42" s="221"/>
      <c r="OQE42" s="222"/>
      <c r="OQF42" s="222"/>
      <c r="OQG42" s="223"/>
      <c r="OQH42" s="223"/>
      <c r="OQI42" s="224"/>
      <c r="OQJ42" s="223"/>
      <c r="OQK42" s="223"/>
      <c r="OQL42" s="223"/>
      <c r="OQM42" s="223"/>
      <c r="OQN42" s="225"/>
      <c r="OQO42" s="220"/>
      <c r="OQP42" s="221"/>
      <c r="OQQ42" s="222"/>
      <c r="OQR42" s="222"/>
      <c r="OQS42" s="223"/>
      <c r="OQT42" s="223"/>
      <c r="OQU42" s="224"/>
      <c r="OQV42" s="223"/>
      <c r="OQW42" s="223"/>
      <c r="OQX42" s="223"/>
      <c r="OQY42" s="223"/>
      <c r="OQZ42" s="225"/>
      <c r="ORA42" s="220"/>
      <c r="ORB42" s="221"/>
      <c r="ORC42" s="222"/>
      <c r="ORD42" s="222"/>
      <c r="ORE42" s="223"/>
      <c r="ORF42" s="223"/>
      <c r="ORG42" s="224"/>
      <c r="ORH42" s="223"/>
      <c r="ORI42" s="223"/>
      <c r="ORJ42" s="223"/>
      <c r="ORK42" s="223"/>
      <c r="ORL42" s="225"/>
      <c r="ORM42" s="220"/>
      <c r="ORN42" s="221"/>
      <c r="ORO42" s="222"/>
      <c r="ORP42" s="222"/>
      <c r="ORQ42" s="223"/>
      <c r="ORR42" s="223"/>
      <c r="ORS42" s="224"/>
      <c r="ORT42" s="223"/>
      <c r="ORU42" s="223"/>
      <c r="ORV42" s="223"/>
      <c r="ORW42" s="223"/>
      <c r="ORX42" s="225"/>
      <c r="ORY42" s="220"/>
      <c r="ORZ42" s="221"/>
      <c r="OSA42" s="222"/>
      <c r="OSB42" s="222"/>
      <c r="OSC42" s="223"/>
      <c r="OSD42" s="223"/>
      <c r="OSE42" s="224"/>
      <c r="OSF42" s="223"/>
      <c r="OSG42" s="223"/>
      <c r="OSH42" s="223"/>
      <c r="OSI42" s="223"/>
      <c r="OSJ42" s="225"/>
      <c r="OSK42" s="220"/>
      <c r="OSL42" s="221"/>
      <c r="OSM42" s="222"/>
      <c r="OSN42" s="222"/>
      <c r="OSO42" s="223"/>
      <c r="OSP42" s="223"/>
      <c r="OSQ42" s="224"/>
      <c r="OSR42" s="223"/>
      <c r="OSS42" s="223"/>
      <c r="OST42" s="223"/>
      <c r="OSU42" s="223"/>
      <c r="OSV42" s="225"/>
      <c r="OSW42" s="220"/>
      <c r="OSX42" s="221"/>
      <c r="OSY42" s="222"/>
      <c r="OSZ42" s="222"/>
      <c r="OTA42" s="223"/>
      <c r="OTB42" s="223"/>
      <c r="OTC42" s="224"/>
      <c r="OTD42" s="223"/>
      <c r="OTE42" s="223"/>
      <c r="OTF42" s="223"/>
      <c r="OTG42" s="223"/>
      <c r="OTH42" s="225"/>
      <c r="OTI42" s="220"/>
      <c r="OTJ42" s="221"/>
      <c r="OTK42" s="222"/>
      <c r="OTL42" s="222"/>
      <c r="OTM42" s="223"/>
      <c r="OTN42" s="223"/>
      <c r="OTO42" s="224"/>
      <c r="OTP42" s="223"/>
      <c r="OTQ42" s="223"/>
      <c r="OTR42" s="223"/>
      <c r="OTS42" s="223"/>
      <c r="OTT42" s="225"/>
      <c r="OTU42" s="220"/>
      <c r="OTV42" s="221"/>
      <c r="OTW42" s="222"/>
      <c r="OTX42" s="222"/>
      <c r="OTY42" s="223"/>
      <c r="OTZ42" s="223"/>
      <c r="OUA42" s="224"/>
      <c r="OUB42" s="223"/>
      <c r="OUC42" s="223"/>
      <c r="OUD42" s="223"/>
      <c r="OUE42" s="223"/>
      <c r="OUF42" s="225"/>
      <c r="OUG42" s="220"/>
      <c r="OUH42" s="221"/>
      <c r="OUI42" s="222"/>
      <c r="OUJ42" s="222"/>
      <c r="OUK42" s="223"/>
      <c r="OUL42" s="223"/>
      <c r="OUM42" s="224"/>
      <c r="OUN42" s="223"/>
      <c r="OUO42" s="223"/>
      <c r="OUP42" s="223"/>
      <c r="OUQ42" s="223"/>
      <c r="OUR42" s="225"/>
      <c r="OUS42" s="220"/>
      <c r="OUT42" s="221"/>
      <c r="OUU42" s="222"/>
      <c r="OUV42" s="222"/>
      <c r="OUW42" s="223"/>
      <c r="OUX42" s="223"/>
      <c r="OUY42" s="224"/>
      <c r="OUZ42" s="223"/>
      <c r="OVA42" s="223"/>
      <c r="OVB42" s="223"/>
      <c r="OVC42" s="223"/>
      <c r="OVD42" s="225"/>
      <c r="OVE42" s="220"/>
      <c r="OVF42" s="221"/>
      <c r="OVG42" s="222"/>
      <c r="OVH42" s="222"/>
      <c r="OVI42" s="223"/>
      <c r="OVJ42" s="223"/>
      <c r="OVK42" s="224"/>
      <c r="OVL42" s="223"/>
      <c r="OVM42" s="223"/>
      <c r="OVN42" s="223"/>
      <c r="OVO42" s="223"/>
      <c r="OVP42" s="225"/>
      <c r="OVQ42" s="220"/>
      <c r="OVR42" s="221"/>
      <c r="OVS42" s="222"/>
      <c r="OVT42" s="222"/>
      <c r="OVU42" s="223"/>
      <c r="OVV42" s="223"/>
      <c r="OVW42" s="224"/>
      <c r="OVX42" s="223"/>
      <c r="OVY42" s="223"/>
      <c r="OVZ42" s="223"/>
      <c r="OWA42" s="223"/>
      <c r="OWB42" s="225"/>
      <c r="OWC42" s="220"/>
      <c r="OWD42" s="221"/>
      <c r="OWE42" s="222"/>
      <c r="OWF42" s="222"/>
      <c r="OWG42" s="223"/>
      <c r="OWH42" s="223"/>
      <c r="OWI42" s="224"/>
      <c r="OWJ42" s="223"/>
      <c r="OWK42" s="223"/>
      <c r="OWL42" s="223"/>
      <c r="OWM42" s="223"/>
      <c r="OWN42" s="225"/>
      <c r="OWO42" s="220"/>
      <c r="OWP42" s="221"/>
      <c r="OWQ42" s="222"/>
      <c r="OWR42" s="222"/>
      <c r="OWS42" s="223"/>
      <c r="OWT42" s="223"/>
      <c r="OWU42" s="224"/>
      <c r="OWV42" s="223"/>
      <c r="OWW42" s="223"/>
      <c r="OWX42" s="223"/>
      <c r="OWY42" s="223"/>
      <c r="OWZ42" s="225"/>
      <c r="OXA42" s="220"/>
      <c r="OXB42" s="221"/>
      <c r="OXC42" s="222"/>
      <c r="OXD42" s="222"/>
      <c r="OXE42" s="223"/>
      <c r="OXF42" s="223"/>
      <c r="OXG42" s="224"/>
      <c r="OXH42" s="223"/>
      <c r="OXI42" s="223"/>
      <c r="OXJ42" s="223"/>
      <c r="OXK42" s="223"/>
      <c r="OXL42" s="225"/>
      <c r="OXM42" s="220"/>
      <c r="OXN42" s="221"/>
      <c r="OXO42" s="222"/>
      <c r="OXP42" s="222"/>
      <c r="OXQ42" s="223"/>
      <c r="OXR42" s="223"/>
      <c r="OXS42" s="224"/>
      <c r="OXT42" s="223"/>
      <c r="OXU42" s="223"/>
      <c r="OXV42" s="223"/>
      <c r="OXW42" s="223"/>
      <c r="OXX42" s="225"/>
      <c r="OXY42" s="220"/>
      <c r="OXZ42" s="221"/>
      <c r="OYA42" s="222"/>
      <c r="OYB42" s="222"/>
      <c r="OYC42" s="223"/>
      <c r="OYD42" s="223"/>
      <c r="OYE42" s="224"/>
      <c r="OYF42" s="223"/>
      <c r="OYG42" s="223"/>
      <c r="OYH42" s="223"/>
      <c r="OYI42" s="223"/>
      <c r="OYJ42" s="225"/>
      <c r="OYK42" s="220"/>
      <c r="OYL42" s="221"/>
      <c r="OYM42" s="222"/>
      <c r="OYN42" s="222"/>
      <c r="OYO42" s="223"/>
      <c r="OYP42" s="223"/>
      <c r="OYQ42" s="224"/>
      <c r="OYR42" s="223"/>
      <c r="OYS42" s="223"/>
      <c r="OYT42" s="223"/>
      <c r="OYU42" s="223"/>
      <c r="OYV42" s="225"/>
      <c r="OYW42" s="220"/>
      <c r="OYX42" s="221"/>
      <c r="OYY42" s="222"/>
      <c r="OYZ42" s="222"/>
      <c r="OZA42" s="223"/>
      <c r="OZB42" s="223"/>
      <c r="OZC42" s="224"/>
      <c r="OZD42" s="223"/>
      <c r="OZE42" s="223"/>
      <c r="OZF42" s="223"/>
      <c r="OZG42" s="223"/>
      <c r="OZH42" s="225"/>
      <c r="OZI42" s="220"/>
      <c r="OZJ42" s="221"/>
      <c r="OZK42" s="222"/>
      <c r="OZL42" s="222"/>
      <c r="OZM42" s="223"/>
      <c r="OZN42" s="223"/>
      <c r="OZO42" s="224"/>
      <c r="OZP42" s="223"/>
      <c r="OZQ42" s="223"/>
      <c r="OZR42" s="223"/>
      <c r="OZS42" s="223"/>
      <c r="OZT42" s="225"/>
      <c r="OZU42" s="220"/>
      <c r="OZV42" s="221"/>
      <c r="OZW42" s="222"/>
      <c r="OZX42" s="222"/>
      <c r="OZY42" s="223"/>
      <c r="OZZ42" s="223"/>
      <c r="PAA42" s="224"/>
      <c r="PAB42" s="223"/>
      <c r="PAC42" s="223"/>
      <c r="PAD42" s="223"/>
      <c r="PAE42" s="223"/>
      <c r="PAF42" s="225"/>
      <c r="PAG42" s="220"/>
      <c r="PAH42" s="221"/>
      <c r="PAI42" s="222"/>
      <c r="PAJ42" s="222"/>
      <c r="PAK42" s="223"/>
      <c r="PAL42" s="223"/>
      <c r="PAM42" s="224"/>
      <c r="PAN42" s="223"/>
      <c r="PAO42" s="223"/>
      <c r="PAP42" s="223"/>
      <c r="PAQ42" s="223"/>
      <c r="PAR42" s="225"/>
      <c r="PAS42" s="220"/>
      <c r="PAT42" s="221"/>
      <c r="PAU42" s="222"/>
      <c r="PAV42" s="222"/>
      <c r="PAW42" s="223"/>
      <c r="PAX42" s="223"/>
      <c r="PAY42" s="224"/>
      <c r="PAZ42" s="223"/>
      <c r="PBA42" s="223"/>
      <c r="PBB42" s="223"/>
      <c r="PBC42" s="223"/>
      <c r="PBD42" s="225"/>
      <c r="PBE42" s="220"/>
      <c r="PBF42" s="221"/>
      <c r="PBG42" s="222"/>
      <c r="PBH42" s="222"/>
      <c r="PBI42" s="223"/>
      <c r="PBJ42" s="223"/>
      <c r="PBK42" s="224"/>
      <c r="PBL42" s="223"/>
      <c r="PBM42" s="223"/>
      <c r="PBN42" s="223"/>
      <c r="PBO42" s="223"/>
      <c r="PBP42" s="225"/>
      <c r="PBQ42" s="220"/>
      <c r="PBR42" s="221"/>
      <c r="PBS42" s="222"/>
      <c r="PBT42" s="222"/>
      <c r="PBU42" s="223"/>
      <c r="PBV42" s="223"/>
      <c r="PBW42" s="224"/>
      <c r="PBX42" s="223"/>
      <c r="PBY42" s="223"/>
      <c r="PBZ42" s="223"/>
      <c r="PCA42" s="223"/>
      <c r="PCB42" s="225"/>
      <c r="PCC42" s="220"/>
      <c r="PCD42" s="221"/>
      <c r="PCE42" s="222"/>
      <c r="PCF42" s="222"/>
      <c r="PCG42" s="223"/>
      <c r="PCH42" s="223"/>
      <c r="PCI42" s="224"/>
      <c r="PCJ42" s="223"/>
      <c r="PCK42" s="223"/>
      <c r="PCL42" s="223"/>
      <c r="PCM42" s="223"/>
      <c r="PCN42" s="225"/>
      <c r="PCO42" s="220"/>
      <c r="PCP42" s="221"/>
      <c r="PCQ42" s="222"/>
      <c r="PCR42" s="222"/>
      <c r="PCS42" s="223"/>
      <c r="PCT42" s="223"/>
      <c r="PCU42" s="224"/>
      <c r="PCV42" s="223"/>
      <c r="PCW42" s="223"/>
      <c r="PCX42" s="223"/>
      <c r="PCY42" s="223"/>
      <c r="PCZ42" s="225"/>
      <c r="PDA42" s="220"/>
      <c r="PDB42" s="221"/>
      <c r="PDC42" s="222"/>
      <c r="PDD42" s="222"/>
      <c r="PDE42" s="223"/>
      <c r="PDF42" s="223"/>
      <c r="PDG42" s="224"/>
      <c r="PDH42" s="223"/>
      <c r="PDI42" s="223"/>
      <c r="PDJ42" s="223"/>
      <c r="PDK42" s="223"/>
      <c r="PDL42" s="225"/>
      <c r="PDM42" s="220"/>
      <c r="PDN42" s="221"/>
      <c r="PDO42" s="222"/>
      <c r="PDP42" s="222"/>
      <c r="PDQ42" s="223"/>
      <c r="PDR42" s="223"/>
      <c r="PDS42" s="224"/>
      <c r="PDT42" s="223"/>
      <c r="PDU42" s="223"/>
      <c r="PDV42" s="223"/>
      <c r="PDW42" s="223"/>
      <c r="PDX42" s="225"/>
      <c r="PDY42" s="220"/>
      <c r="PDZ42" s="221"/>
      <c r="PEA42" s="222"/>
      <c r="PEB42" s="222"/>
      <c r="PEC42" s="223"/>
      <c r="PED42" s="223"/>
      <c r="PEE42" s="224"/>
      <c r="PEF42" s="223"/>
      <c r="PEG42" s="223"/>
      <c r="PEH42" s="223"/>
      <c r="PEI42" s="223"/>
      <c r="PEJ42" s="225"/>
      <c r="PEK42" s="220"/>
      <c r="PEL42" s="221"/>
      <c r="PEM42" s="222"/>
      <c r="PEN42" s="222"/>
      <c r="PEO42" s="223"/>
      <c r="PEP42" s="223"/>
      <c r="PEQ42" s="224"/>
      <c r="PER42" s="223"/>
      <c r="PES42" s="223"/>
      <c r="PET42" s="223"/>
      <c r="PEU42" s="223"/>
      <c r="PEV42" s="225"/>
      <c r="PEW42" s="220"/>
      <c r="PEX42" s="221"/>
      <c r="PEY42" s="222"/>
      <c r="PEZ42" s="222"/>
      <c r="PFA42" s="223"/>
      <c r="PFB42" s="223"/>
      <c r="PFC42" s="224"/>
      <c r="PFD42" s="223"/>
      <c r="PFE42" s="223"/>
      <c r="PFF42" s="223"/>
      <c r="PFG42" s="223"/>
      <c r="PFH42" s="225"/>
      <c r="PFI42" s="220"/>
      <c r="PFJ42" s="221"/>
      <c r="PFK42" s="222"/>
      <c r="PFL42" s="222"/>
      <c r="PFM42" s="223"/>
      <c r="PFN42" s="223"/>
      <c r="PFO42" s="224"/>
      <c r="PFP42" s="223"/>
      <c r="PFQ42" s="223"/>
      <c r="PFR42" s="223"/>
      <c r="PFS42" s="223"/>
      <c r="PFT42" s="225"/>
      <c r="PFU42" s="220"/>
      <c r="PFV42" s="221"/>
      <c r="PFW42" s="222"/>
      <c r="PFX42" s="222"/>
      <c r="PFY42" s="223"/>
      <c r="PFZ42" s="223"/>
      <c r="PGA42" s="224"/>
      <c r="PGB42" s="223"/>
      <c r="PGC42" s="223"/>
      <c r="PGD42" s="223"/>
      <c r="PGE42" s="223"/>
      <c r="PGF42" s="225"/>
      <c r="PGG42" s="220"/>
      <c r="PGH42" s="221"/>
      <c r="PGI42" s="222"/>
      <c r="PGJ42" s="222"/>
      <c r="PGK42" s="223"/>
      <c r="PGL42" s="223"/>
      <c r="PGM42" s="224"/>
      <c r="PGN42" s="223"/>
      <c r="PGO42" s="223"/>
      <c r="PGP42" s="223"/>
      <c r="PGQ42" s="223"/>
      <c r="PGR42" s="225"/>
      <c r="PGS42" s="220"/>
      <c r="PGT42" s="221"/>
      <c r="PGU42" s="222"/>
      <c r="PGV42" s="222"/>
      <c r="PGW42" s="223"/>
      <c r="PGX42" s="223"/>
      <c r="PGY42" s="224"/>
      <c r="PGZ42" s="223"/>
      <c r="PHA42" s="223"/>
      <c r="PHB42" s="223"/>
      <c r="PHC42" s="223"/>
      <c r="PHD42" s="225"/>
      <c r="PHE42" s="220"/>
      <c r="PHF42" s="221"/>
      <c r="PHG42" s="222"/>
      <c r="PHH42" s="222"/>
      <c r="PHI42" s="223"/>
      <c r="PHJ42" s="223"/>
      <c r="PHK42" s="224"/>
      <c r="PHL42" s="223"/>
      <c r="PHM42" s="223"/>
      <c r="PHN42" s="223"/>
      <c r="PHO42" s="223"/>
      <c r="PHP42" s="225"/>
      <c r="PHQ42" s="220"/>
      <c r="PHR42" s="221"/>
      <c r="PHS42" s="222"/>
      <c r="PHT42" s="222"/>
      <c r="PHU42" s="223"/>
      <c r="PHV42" s="223"/>
      <c r="PHW42" s="224"/>
      <c r="PHX42" s="223"/>
      <c r="PHY42" s="223"/>
      <c r="PHZ42" s="223"/>
      <c r="PIA42" s="223"/>
      <c r="PIB42" s="225"/>
      <c r="PIC42" s="220"/>
      <c r="PID42" s="221"/>
      <c r="PIE42" s="222"/>
      <c r="PIF42" s="222"/>
      <c r="PIG42" s="223"/>
      <c r="PIH42" s="223"/>
      <c r="PII42" s="224"/>
      <c r="PIJ42" s="223"/>
      <c r="PIK42" s="223"/>
      <c r="PIL42" s="223"/>
      <c r="PIM42" s="223"/>
      <c r="PIN42" s="225"/>
      <c r="PIO42" s="220"/>
      <c r="PIP42" s="221"/>
      <c r="PIQ42" s="222"/>
      <c r="PIR42" s="222"/>
      <c r="PIS42" s="223"/>
      <c r="PIT42" s="223"/>
      <c r="PIU42" s="224"/>
      <c r="PIV42" s="223"/>
      <c r="PIW42" s="223"/>
      <c r="PIX42" s="223"/>
      <c r="PIY42" s="223"/>
      <c r="PIZ42" s="225"/>
      <c r="PJA42" s="220"/>
      <c r="PJB42" s="221"/>
      <c r="PJC42" s="222"/>
      <c r="PJD42" s="222"/>
      <c r="PJE42" s="223"/>
      <c r="PJF42" s="223"/>
      <c r="PJG42" s="224"/>
      <c r="PJH42" s="223"/>
      <c r="PJI42" s="223"/>
      <c r="PJJ42" s="223"/>
      <c r="PJK42" s="223"/>
      <c r="PJL42" s="225"/>
      <c r="PJM42" s="220"/>
      <c r="PJN42" s="221"/>
      <c r="PJO42" s="222"/>
      <c r="PJP42" s="222"/>
      <c r="PJQ42" s="223"/>
      <c r="PJR42" s="223"/>
      <c r="PJS42" s="224"/>
      <c r="PJT42" s="223"/>
      <c r="PJU42" s="223"/>
      <c r="PJV42" s="223"/>
      <c r="PJW42" s="223"/>
      <c r="PJX42" s="225"/>
      <c r="PJY42" s="220"/>
      <c r="PJZ42" s="221"/>
      <c r="PKA42" s="222"/>
      <c r="PKB42" s="222"/>
      <c r="PKC42" s="223"/>
      <c r="PKD42" s="223"/>
      <c r="PKE42" s="224"/>
      <c r="PKF42" s="223"/>
      <c r="PKG42" s="223"/>
      <c r="PKH42" s="223"/>
      <c r="PKI42" s="223"/>
      <c r="PKJ42" s="225"/>
      <c r="PKK42" s="220"/>
      <c r="PKL42" s="221"/>
      <c r="PKM42" s="222"/>
      <c r="PKN42" s="222"/>
      <c r="PKO42" s="223"/>
      <c r="PKP42" s="223"/>
      <c r="PKQ42" s="224"/>
      <c r="PKR42" s="223"/>
      <c r="PKS42" s="223"/>
      <c r="PKT42" s="223"/>
      <c r="PKU42" s="223"/>
      <c r="PKV42" s="225"/>
      <c r="PKW42" s="220"/>
      <c r="PKX42" s="221"/>
      <c r="PKY42" s="222"/>
      <c r="PKZ42" s="222"/>
      <c r="PLA42" s="223"/>
      <c r="PLB42" s="223"/>
      <c r="PLC42" s="224"/>
      <c r="PLD42" s="223"/>
      <c r="PLE42" s="223"/>
      <c r="PLF42" s="223"/>
      <c r="PLG42" s="223"/>
      <c r="PLH42" s="225"/>
      <c r="PLI42" s="220"/>
      <c r="PLJ42" s="221"/>
      <c r="PLK42" s="222"/>
      <c r="PLL42" s="222"/>
      <c r="PLM42" s="223"/>
      <c r="PLN42" s="223"/>
      <c r="PLO42" s="224"/>
      <c r="PLP42" s="223"/>
      <c r="PLQ42" s="223"/>
      <c r="PLR42" s="223"/>
      <c r="PLS42" s="223"/>
      <c r="PLT42" s="225"/>
      <c r="PLU42" s="220"/>
      <c r="PLV42" s="221"/>
      <c r="PLW42" s="222"/>
      <c r="PLX42" s="222"/>
      <c r="PLY42" s="223"/>
      <c r="PLZ42" s="223"/>
      <c r="PMA42" s="224"/>
      <c r="PMB42" s="223"/>
      <c r="PMC42" s="223"/>
      <c r="PMD42" s="223"/>
      <c r="PME42" s="223"/>
      <c r="PMF42" s="225"/>
      <c r="PMG42" s="220"/>
      <c r="PMH42" s="221"/>
      <c r="PMI42" s="222"/>
      <c r="PMJ42" s="222"/>
      <c r="PMK42" s="223"/>
      <c r="PML42" s="223"/>
      <c r="PMM42" s="224"/>
      <c r="PMN42" s="223"/>
      <c r="PMO42" s="223"/>
      <c r="PMP42" s="223"/>
      <c r="PMQ42" s="223"/>
      <c r="PMR42" s="225"/>
      <c r="PMS42" s="220"/>
      <c r="PMT42" s="221"/>
      <c r="PMU42" s="222"/>
      <c r="PMV42" s="222"/>
      <c r="PMW42" s="223"/>
      <c r="PMX42" s="223"/>
      <c r="PMY42" s="224"/>
      <c r="PMZ42" s="223"/>
      <c r="PNA42" s="223"/>
      <c r="PNB42" s="223"/>
      <c r="PNC42" s="223"/>
      <c r="PND42" s="225"/>
      <c r="PNE42" s="220"/>
      <c r="PNF42" s="221"/>
      <c r="PNG42" s="222"/>
      <c r="PNH42" s="222"/>
      <c r="PNI42" s="223"/>
      <c r="PNJ42" s="223"/>
      <c r="PNK42" s="224"/>
      <c r="PNL42" s="223"/>
      <c r="PNM42" s="223"/>
      <c r="PNN42" s="223"/>
      <c r="PNO42" s="223"/>
      <c r="PNP42" s="225"/>
      <c r="PNQ42" s="220"/>
      <c r="PNR42" s="221"/>
      <c r="PNS42" s="222"/>
      <c r="PNT42" s="222"/>
      <c r="PNU42" s="223"/>
      <c r="PNV42" s="223"/>
      <c r="PNW42" s="224"/>
      <c r="PNX42" s="223"/>
      <c r="PNY42" s="223"/>
      <c r="PNZ42" s="223"/>
      <c r="POA42" s="223"/>
      <c r="POB42" s="225"/>
      <c r="POC42" s="220"/>
      <c r="POD42" s="221"/>
      <c r="POE42" s="222"/>
      <c r="POF42" s="222"/>
      <c r="POG42" s="223"/>
      <c r="POH42" s="223"/>
      <c r="POI42" s="224"/>
      <c r="POJ42" s="223"/>
      <c r="POK42" s="223"/>
      <c r="POL42" s="223"/>
      <c r="POM42" s="223"/>
      <c r="PON42" s="225"/>
      <c r="POO42" s="220"/>
      <c r="POP42" s="221"/>
      <c r="POQ42" s="222"/>
      <c r="POR42" s="222"/>
      <c r="POS42" s="223"/>
      <c r="POT42" s="223"/>
      <c r="POU42" s="224"/>
      <c r="POV42" s="223"/>
      <c r="POW42" s="223"/>
      <c r="POX42" s="223"/>
      <c r="POY42" s="223"/>
      <c r="POZ42" s="225"/>
      <c r="PPA42" s="220"/>
      <c r="PPB42" s="221"/>
      <c r="PPC42" s="222"/>
      <c r="PPD42" s="222"/>
      <c r="PPE42" s="223"/>
      <c r="PPF42" s="223"/>
      <c r="PPG42" s="224"/>
      <c r="PPH42" s="223"/>
      <c r="PPI42" s="223"/>
      <c r="PPJ42" s="223"/>
      <c r="PPK42" s="223"/>
      <c r="PPL42" s="225"/>
      <c r="PPM42" s="220"/>
      <c r="PPN42" s="221"/>
      <c r="PPO42" s="222"/>
      <c r="PPP42" s="222"/>
      <c r="PPQ42" s="223"/>
      <c r="PPR42" s="223"/>
      <c r="PPS42" s="224"/>
      <c r="PPT42" s="223"/>
      <c r="PPU42" s="223"/>
      <c r="PPV42" s="223"/>
      <c r="PPW42" s="223"/>
      <c r="PPX42" s="225"/>
      <c r="PPY42" s="220"/>
      <c r="PPZ42" s="221"/>
      <c r="PQA42" s="222"/>
      <c r="PQB42" s="222"/>
      <c r="PQC42" s="223"/>
      <c r="PQD42" s="223"/>
      <c r="PQE42" s="224"/>
      <c r="PQF42" s="223"/>
      <c r="PQG42" s="223"/>
      <c r="PQH42" s="223"/>
      <c r="PQI42" s="223"/>
      <c r="PQJ42" s="225"/>
      <c r="PQK42" s="220"/>
      <c r="PQL42" s="221"/>
      <c r="PQM42" s="222"/>
      <c r="PQN42" s="222"/>
      <c r="PQO42" s="223"/>
      <c r="PQP42" s="223"/>
      <c r="PQQ42" s="224"/>
      <c r="PQR42" s="223"/>
      <c r="PQS42" s="223"/>
      <c r="PQT42" s="223"/>
      <c r="PQU42" s="223"/>
      <c r="PQV42" s="225"/>
      <c r="PQW42" s="220"/>
      <c r="PQX42" s="221"/>
      <c r="PQY42" s="222"/>
      <c r="PQZ42" s="222"/>
      <c r="PRA42" s="223"/>
      <c r="PRB42" s="223"/>
      <c r="PRC42" s="224"/>
      <c r="PRD42" s="223"/>
      <c r="PRE42" s="223"/>
      <c r="PRF42" s="223"/>
      <c r="PRG42" s="223"/>
      <c r="PRH42" s="225"/>
      <c r="PRI42" s="220"/>
      <c r="PRJ42" s="221"/>
      <c r="PRK42" s="222"/>
      <c r="PRL42" s="222"/>
      <c r="PRM42" s="223"/>
      <c r="PRN42" s="223"/>
      <c r="PRO42" s="224"/>
      <c r="PRP42" s="223"/>
      <c r="PRQ42" s="223"/>
      <c r="PRR42" s="223"/>
      <c r="PRS42" s="223"/>
      <c r="PRT42" s="225"/>
      <c r="PRU42" s="220"/>
      <c r="PRV42" s="221"/>
      <c r="PRW42" s="222"/>
      <c r="PRX42" s="222"/>
      <c r="PRY42" s="223"/>
      <c r="PRZ42" s="223"/>
      <c r="PSA42" s="224"/>
      <c r="PSB42" s="223"/>
      <c r="PSC42" s="223"/>
      <c r="PSD42" s="223"/>
      <c r="PSE42" s="223"/>
      <c r="PSF42" s="225"/>
      <c r="PSG42" s="220"/>
      <c r="PSH42" s="221"/>
      <c r="PSI42" s="222"/>
      <c r="PSJ42" s="222"/>
      <c r="PSK42" s="223"/>
      <c r="PSL42" s="223"/>
      <c r="PSM42" s="224"/>
      <c r="PSN42" s="223"/>
      <c r="PSO42" s="223"/>
      <c r="PSP42" s="223"/>
      <c r="PSQ42" s="223"/>
      <c r="PSR42" s="225"/>
      <c r="PSS42" s="220"/>
      <c r="PST42" s="221"/>
      <c r="PSU42" s="222"/>
      <c r="PSV42" s="222"/>
      <c r="PSW42" s="223"/>
      <c r="PSX42" s="223"/>
      <c r="PSY42" s="224"/>
      <c r="PSZ42" s="223"/>
      <c r="PTA42" s="223"/>
      <c r="PTB42" s="223"/>
      <c r="PTC42" s="223"/>
      <c r="PTD42" s="225"/>
      <c r="PTE42" s="220"/>
      <c r="PTF42" s="221"/>
      <c r="PTG42" s="222"/>
      <c r="PTH42" s="222"/>
      <c r="PTI42" s="223"/>
      <c r="PTJ42" s="223"/>
      <c r="PTK42" s="224"/>
      <c r="PTL42" s="223"/>
      <c r="PTM42" s="223"/>
      <c r="PTN42" s="223"/>
      <c r="PTO42" s="223"/>
      <c r="PTP42" s="225"/>
      <c r="PTQ42" s="220"/>
      <c r="PTR42" s="221"/>
      <c r="PTS42" s="222"/>
      <c r="PTT42" s="222"/>
      <c r="PTU42" s="223"/>
      <c r="PTV42" s="223"/>
      <c r="PTW42" s="224"/>
      <c r="PTX42" s="223"/>
      <c r="PTY42" s="223"/>
      <c r="PTZ42" s="223"/>
      <c r="PUA42" s="223"/>
      <c r="PUB42" s="225"/>
      <c r="PUC42" s="220"/>
      <c r="PUD42" s="221"/>
      <c r="PUE42" s="222"/>
      <c r="PUF42" s="222"/>
      <c r="PUG42" s="223"/>
      <c r="PUH42" s="223"/>
      <c r="PUI42" s="224"/>
      <c r="PUJ42" s="223"/>
      <c r="PUK42" s="223"/>
      <c r="PUL42" s="223"/>
      <c r="PUM42" s="223"/>
      <c r="PUN42" s="225"/>
      <c r="PUO42" s="220"/>
      <c r="PUP42" s="221"/>
      <c r="PUQ42" s="222"/>
      <c r="PUR42" s="222"/>
      <c r="PUS42" s="223"/>
      <c r="PUT42" s="223"/>
      <c r="PUU42" s="224"/>
      <c r="PUV42" s="223"/>
      <c r="PUW42" s="223"/>
      <c r="PUX42" s="223"/>
      <c r="PUY42" s="223"/>
      <c r="PUZ42" s="225"/>
      <c r="PVA42" s="220"/>
      <c r="PVB42" s="221"/>
      <c r="PVC42" s="222"/>
      <c r="PVD42" s="222"/>
      <c r="PVE42" s="223"/>
      <c r="PVF42" s="223"/>
      <c r="PVG42" s="224"/>
      <c r="PVH42" s="223"/>
      <c r="PVI42" s="223"/>
      <c r="PVJ42" s="223"/>
      <c r="PVK42" s="223"/>
      <c r="PVL42" s="225"/>
      <c r="PVM42" s="220"/>
      <c r="PVN42" s="221"/>
      <c r="PVO42" s="222"/>
      <c r="PVP42" s="222"/>
      <c r="PVQ42" s="223"/>
      <c r="PVR42" s="223"/>
      <c r="PVS42" s="224"/>
      <c r="PVT42" s="223"/>
      <c r="PVU42" s="223"/>
      <c r="PVV42" s="223"/>
      <c r="PVW42" s="223"/>
      <c r="PVX42" s="225"/>
      <c r="PVY42" s="220"/>
      <c r="PVZ42" s="221"/>
      <c r="PWA42" s="222"/>
      <c r="PWB42" s="222"/>
      <c r="PWC42" s="223"/>
      <c r="PWD42" s="223"/>
      <c r="PWE42" s="224"/>
      <c r="PWF42" s="223"/>
      <c r="PWG42" s="223"/>
      <c r="PWH42" s="223"/>
      <c r="PWI42" s="223"/>
      <c r="PWJ42" s="225"/>
      <c r="PWK42" s="220"/>
      <c r="PWL42" s="221"/>
      <c r="PWM42" s="222"/>
      <c r="PWN42" s="222"/>
      <c r="PWO42" s="223"/>
      <c r="PWP42" s="223"/>
      <c r="PWQ42" s="224"/>
      <c r="PWR42" s="223"/>
      <c r="PWS42" s="223"/>
      <c r="PWT42" s="223"/>
      <c r="PWU42" s="223"/>
      <c r="PWV42" s="225"/>
      <c r="PWW42" s="220"/>
      <c r="PWX42" s="221"/>
      <c r="PWY42" s="222"/>
      <c r="PWZ42" s="222"/>
      <c r="PXA42" s="223"/>
      <c r="PXB42" s="223"/>
      <c r="PXC42" s="224"/>
      <c r="PXD42" s="223"/>
      <c r="PXE42" s="223"/>
      <c r="PXF42" s="223"/>
      <c r="PXG42" s="223"/>
      <c r="PXH42" s="225"/>
      <c r="PXI42" s="220"/>
      <c r="PXJ42" s="221"/>
      <c r="PXK42" s="222"/>
      <c r="PXL42" s="222"/>
      <c r="PXM42" s="223"/>
      <c r="PXN42" s="223"/>
      <c r="PXO42" s="224"/>
      <c r="PXP42" s="223"/>
      <c r="PXQ42" s="223"/>
      <c r="PXR42" s="223"/>
      <c r="PXS42" s="223"/>
      <c r="PXT42" s="225"/>
      <c r="PXU42" s="220"/>
      <c r="PXV42" s="221"/>
      <c r="PXW42" s="222"/>
      <c r="PXX42" s="222"/>
      <c r="PXY42" s="223"/>
      <c r="PXZ42" s="223"/>
      <c r="PYA42" s="224"/>
      <c r="PYB42" s="223"/>
      <c r="PYC42" s="223"/>
      <c r="PYD42" s="223"/>
      <c r="PYE42" s="223"/>
      <c r="PYF42" s="225"/>
      <c r="PYG42" s="220"/>
      <c r="PYH42" s="221"/>
      <c r="PYI42" s="222"/>
      <c r="PYJ42" s="222"/>
      <c r="PYK42" s="223"/>
      <c r="PYL42" s="223"/>
      <c r="PYM42" s="224"/>
      <c r="PYN42" s="223"/>
      <c r="PYO42" s="223"/>
      <c r="PYP42" s="223"/>
      <c r="PYQ42" s="223"/>
      <c r="PYR42" s="225"/>
      <c r="PYS42" s="220"/>
      <c r="PYT42" s="221"/>
      <c r="PYU42" s="222"/>
      <c r="PYV42" s="222"/>
      <c r="PYW42" s="223"/>
      <c r="PYX42" s="223"/>
      <c r="PYY42" s="224"/>
      <c r="PYZ42" s="223"/>
      <c r="PZA42" s="223"/>
      <c r="PZB42" s="223"/>
      <c r="PZC42" s="223"/>
      <c r="PZD42" s="225"/>
      <c r="PZE42" s="220"/>
      <c r="PZF42" s="221"/>
      <c r="PZG42" s="222"/>
      <c r="PZH42" s="222"/>
      <c r="PZI42" s="223"/>
      <c r="PZJ42" s="223"/>
      <c r="PZK42" s="224"/>
      <c r="PZL42" s="223"/>
      <c r="PZM42" s="223"/>
      <c r="PZN42" s="223"/>
      <c r="PZO42" s="223"/>
      <c r="PZP42" s="225"/>
      <c r="PZQ42" s="220"/>
      <c r="PZR42" s="221"/>
      <c r="PZS42" s="222"/>
      <c r="PZT42" s="222"/>
      <c r="PZU42" s="223"/>
      <c r="PZV42" s="223"/>
      <c r="PZW42" s="224"/>
      <c r="PZX42" s="223"/>
      <c r="PZY42" s="223"/>
      <c r="PZZ42" s="223"/>
      <c r="QAA42" s="223"/>
      <c r="QAB42" s="225"/>
      <c r="QAC42" s="220"/>
      <c r="QAD42" s="221"/>
      <c r="QAE42" s="222"/>
      <c r="QAF42" s="222"/>
      <c r="QAG42" s="223"/>
      <c r="QAH42" s="223"/>
      <c r="QAI42" s="224"/>
      <c r="QAJ42" s="223"/>
      <c r="QAK42" s="223"/>
      <c r="QAL42" s="223"/>
      <c r="QAM42" s="223"/>
      <c r="QAN42" s="225"/>
      <c r="QAO42" s="220"/>
      <c r="QAP42" s="221"/>
      <c r="QAQ42" s="222"/>
      <c r="QAR42" s="222"/>
      <c r="QAS42" s="223"/>
      <c r="QAT42" s="223"/>
      <c r="QAU42" s="224"/>
      <c r="QAV42" s="223"/>
      <c r="QAW42" s="223"/>
      <c r="QAX42" s="223"/>
      <c r="QAY42" s="223"/>
      <c r="QAZ42" s="225"/>
      <c r="QBA42" s="220"/>
      <c r="QBB42" s="221"/>
      <c r="QBC42" s="222"/>
      <c r="QBD42" s="222"/>
      <c r="QBE42" s="223"/>
      <c r="QBF42" s="223"/>
      <c r="QBG42" s="224"/>
      <c r="QBH42" s="223"/>
      <c r="QBI42" s="223"/>
      <c r="QBJ42" s="223"/>
      <c r="QBK42" s="223"/>
      <c r="QBL42" s="225"/>
      <c r="QBM42" s="220"/>
      <c r="QBN42" s="221"/>
      <c r="QBO42" s="222"/>
      <c r="QBP42" s="222"/>
      <c r="QBQ42" s="223"/>
      <c r="QBR42" s="223"/>
      <c r="QBS42" s="224"/>
      <c r="QBT42" s="223"/>
      <c r="QBU42" s="223"/>
      <c r="QBV42" s="223"/>
      <c r="QBW42" s="223"/>
      <c r="QBX42" s="225"/>
      <c r="QBY42" s="220"/>
      <c r="QBZ42" s="221"/>
      <c r="QCA42" s="222"/>
      <c r="QCB42" s="222"/>
      <c r="QCC42" s="223"/>
      <c r="QCD42" s="223"/>
      <c r="QCE42" s="224"/>
      <c r="QCF42" s="223"/>
      <c r="QCG42" s="223"/>
      <c r="QCH42" s="223"/>
      <c r="QCI42" s="223"/>
      <c r="QCJ42" s="225"/>
      <c r="QCK42" s="220"/>
      <c r="QCL42" s="221"/>
      <c r="QCM42" s="222"/>
      <c r="QCN42" s="222"/>
      <c r="QCO42" s="223"/>
      <c r="QCP42" s="223"/>
      <c r="QCQ42" s="224"/>
      <c r="QCR42" s="223"/>
      <c r="QCS42" s="223"/>
      <c r="QCT42" s="223"/>
      <c r="QCU42" s="223"/>
      <c r="QCV42" s="225"/>
      <c r="QCW42" s="220"/>
      <c r="QCX42" s="221"/>
      <c r="QCY42" s="222"/>
      <c r="QCZ42" s="222"/>
      <c r="QDA42" s="223"/>
      <c r="QDB42" s="223"/>
      <c r="QDC42" s="224"/>
      <c r="QDD42" s="223"/>
      <c r="QDE42" s="223"/>
      <c r="QDF42" s="223"/>
      <c r="QDG42" s="223"/>
      <c r="QDH42" s="225"/>
      <c r="QDI42" s="220"/>
      <c r="QDJ42" s="221"/>
      <c r="QDK42" s="222"/>
      <c r="QDL42" s="222"/>
      <c r="QDM42" s="223"/>
      <c r="QDN42" s="223"/>
      <c r="QDO42" s="224"/>
      <c r="QDP42" s="223"/>
      <c r="QDQ42" s="223"/>
      <c r="QDR42" s="223"/>
      <c r="QDS42" s="223"/>
      <c r="QDT42" s="225"/>
      <c r="QDU42" s="220"/>
      <c r="QDV42" s="221"/>
      <c r="QDW42" s="222"/>
      <c r="QDX42" s="222"/>
      <c r="QDY42" s="223"/>
      <c r="QDZ42" s="223"/>
      <c r="QEA42" s="224"/>
      <c r="QEB42" s="223"/>
      <c r="QEC42" s="223"/>
      <c r="QED42" s="223"/>
      <c r="QEE42" s="223"/>
      <c r="QEF42" s="225"/>
      <c r="QEG42" s="220"/>
      <c r="QEH42" s="221"/>
      <c r="QEI42" s="222"/>
      <c r="QEJ42" s="222"/>
      <c r="QEK42" s="223"/>
      <c r="QEL42" s="223"/>
      <c r="QEM42" s="224"/>
      <c r="QEN42" s="223"/>
      <c r="QEO42" s="223"/>
      <c r="QEP42" s="223"/>
      <c r="QEQ42" s="223"/>
      <c r="QER42" s="225"/>
      <c r="QES42" s="220"/>
      <c r="QET42" s="221"/>
      <c r="QEU42" s="222"/>
      <c r="QEV42" s="222"/>
      <c r="QEW42" s="223"/>
      <c r="QEX42" s="223"/>
      <c r="QEY42" s="224"/>
      <c r="QEZ42" s="223"/>
      <c r="QFA42" s="223"/>
      <c r="QFB42" s="223"/>
      <c r="QFC42" s="223"/>
      <c r="QFD42" s="225"/>
      <c r="QFE42" s="220"/>
      <c r="QFF42" s="221"/>
      <c r="QFG42" s="222"/>
      <c r="QFH42" s="222"/>
      <c r="QFI42" s="223"/>
      <c r="QFJ42" s="223"/>
      <c r="QFK42" s="224"/>
      <c r="QFL42" s="223"/>
      <c r="QFM42" s="223"/>
      <c r="QFN42" s="223"/>
      <c r="QFO42" s="223"/>
      <c r="QFP42" s="225"/>
      <c r="QFQ42" s="220"/>
      <c r="QFR42" s="221"/>
      <c r="QFS42" s="222"/>
      <c r="QFT42" s="222"/>
      <c r="QFU42" s="223"/>
      <c r="QFV42" s="223"/>
      <c r="QFW42" s="224"/>
      <c r="QFX42" s="223"/>
      <c r="QFY42" s="223"/>
      <c r="QFZ42" s="223"/>
      <c r="QGA42" s="223"/>
      <c r="QGB42" s="225"/>
      <c r="QGC42" s="220"/>
      <c r="QGD42" s="221"/>
      <c r="QGE42" s="222"/>
      <c r="QGF42" s="222"/>
      <c r="QGG42" s="223"/>
      <c r="QGH42" s="223"/>
      <c r="QGI42" s="224"/>
      <c r="QGJ42" s="223"/>
      <c r="QGK42" s="223"/>
      <c r="QGL42" s="223"/>
      <c r="QGM42" s="223"/>
      <c r="QGN42" s="225"/>
      <c r="QGO42" s="220"/>
      <c r="QGP42" s="221"/>
      <c r="QGQ42" s="222"/>
      <c r="QGR42" s="222"/>
      <c r="QGS42" s="223"/>
      <c r="QGT42" s="223"/>
      <c r="QGU42" s="224"/>
      <c r="QGV42" s="223"/>
      <c r="QGW42" s="223"/>
      <c r="QGX42" s="223"/>
      <c r="QGY42" s="223"/>
      <c r="QGZ42" s="225"/>
      <c r="QHA42" s="220"/>
      <c r="QHB42" s="221"/>
      <c r="QHC42" s="222"/>
      <c r="QHD42" s="222"/>
      <c r="QHE42" s="223"/>
      <c r="QHF42" s="223"/>
      <c r="QHG42" s="224"/>
      <c r="QHH42" s="223"/>
      <c r="QHI42" s="223"/>
      <c r="QHJ42" s="223"/>
      <c r="QHK42" s="223"/>
      <c r="QHL42" s="225"/>
      <c r="QHM42" s="220"/>
      <c r="QHN42" s="221"/>
      <c r="QHO42" s="222"/>
      <c r="QHP42" s="222"/>
      <c r="QHQ42" s="223"/>
      <c r="QHR42" s="223"/>
      <c r="QHS42" s="224"/>
      <c r="QHT42" s="223"/>
      <c r="QHU42" s="223"/>
      <c r="QHV42" s="223"/>
      <c r="QHW42" s="223"/>
      <c r="QHX42" s="225"/>
      <c r="QHY42" s="220"/>
      <c r="QHZ42" s="221"/>
      <c r="QIA42" s="222"/>
      <c r="QIB42" s="222"/>
      <c r="QIC42" s="223"/>
      <c r="QID42" s="223"/>
      <c r="QIE42" s="224"/>
      <c r="QIF42" s="223"/>
      <c r="QIG42" s="223"/>
      <c r="QIH42" s="223"/>
      <c r="QII42" s="223"/>
      <c r="QIJ42" s="225"/>
      <c r="QIK42" s="220"/>
      <c r="QIL42" s="221"/>
      <c r="QIM42" s="222"/>
      <c r="QIN42" s="222"/>
      <c r="QIO42" s="223"/>
      <c r="QIP42" s="223"/>
      <c r="QIQ42" s="224"/>
      <c r="QIR42" s="223"/>
      <c r="QIS42" s="223"/>
      <c r="QIT42" s="223"/>
      <c r="QIU42" s="223"/>
      <c r="QIV42" s="225"/>
      <c r="QIW42" s="220"/>
      <c r="QIX42" s="221"/>
      <c r="QIY42" s="222"/>
      <c r="QIZ42" s="222"/>
      <c r="QJA42" s="223"/>
      <c r="QJB42" s="223"/>
      <c r="QJC42" s="224"/>
      <c r="QJD42" s="223"/>
      <c r="QJE42" s="223"/>
      <c r="QJF42" s="223"/>
      <c r="QJG42" s="223"/>
      <c r="QJH42" s="225"/>
      <c r="QJI42" s="220"/>
      <c r="QJJ42" s="221"/>
      <c r="QJK42" s="222"/>
      <c r="QJL42" s="222"/>
      <c r="QJM42" s="223"/>
      <c r="QJN42" s="223"/>
      <c r="QJO42" s="224"/>
      <c r="QJP42" s="223"/>
      <c r="QJQ42" s="223"/>
      <c r="QJR42" s="223"/>
      <c r="QJS42" s="223"/>
      <c r="QJT42" s="225"/>
      <c r="QJU42" s="220"/>
      <c r="QJV42" s="221"/>
      <c r="QJW42" s="222"/>
      <c r="QJX42" s="222"/>
      <c r="QJY42" s="223"/>
      <c r="QJZ42" s="223"/>
      <c r="QKA42" s="224"/>
      <c r="QKB42" s="223"/>
      <c r="QKC42" s="223"/>
      <c r="QKD42" s="223"/>
      <c r="QKE42" s="223"/>
      <c r="QKF42" s="225"/>
      <c r="QKG42" s="220"/>
      <c r="QKH42" s="221"/>
      <c r="QKI42" s="222"/>
      <c r="QKJ42" s="222"/>
      <c r="QKK42" s="223"/>
      <c r="QKL42" s="223"/>
      <c r="QKM42" s="224"/>
      <c r="QKN42" s="223"/>
      <c r="QKO42" s="223"/>
      <c r="QKP42" s="223"/>
      <c r="QKQ42" s="223"/>
      <c r="QKR42" s="225"/>
      <c r="QKS42" s="220"/>
      <c r="QKT42" s="221"/>
      <c r="QKU42" s="222"/>
      <c r="QKV42" s="222"/>
      <c r="QKW42" s="223"/>
      <c r="QKX42" s="223"/>
      <c r="QKY42" s="224"/>
      <c r="QKZ42" s="223"/>
      <c r="QLA42" s="223"/>
      <c r="QLB42" s="223"/>
      <c r="QLC42" s="223"/>
      <c r="QLD42" s="225"/>
      <c r="QLE42" s="220"/>
      <c r="QLF42" s="221"/>
      <c r="QLG42" s="222"/>
      <c r="QLH42" s="222"/>
      <c r="QLI42" s="223"/>
      <c r="QLJ42" s="223"/>
      <c r="QLK42" s="224"/>
      <c r="QLL42" s="223"/>
      <c r="QLM42" s="223"/>
      <c r="QLN42" s="223"/>
      <c r="QLO42" s="223"/>
      <c r="QLP42" s="225"/>
      <c r="QLQ42" s="220"/>
      <c r="QLR42" s="221"/>
      <c r="QLS42" s="222"/>
      <c r="QLT42" s="222"/>
      <c r="QLU42" s="223"/>
      <c r="QLV42" s="223"/>
      <c r="QLW42" s="224"/>
      <c r="QLX42" s="223"/>
      <c r="QLY42" s="223"/>
      <c r="QLZ42" s="223"/>
      <c r="QMA42" s="223"/>
      <c r="QMB42" s="225"/>
      <c r="QMC42" s="220"/>
      <c r="QMD42" s="221"/>
      <c r="QME42" s="222"/>
      <c r="QMF42" s="222"/>
      <c r="QMG42" s="223"/>
      <c r="QMH42" s="223"/>
      <c r="QMI42" s="224"/>
      <c r="QMJ42" s="223"/>
      <c r="QMK42" s="223"/>
      <c r="QML42" s="223"/>
      <c r="QMM42" s="223"/>
      <c r="QMN42" s="225"/>
      <c r="QMO42" s="220"/>
      <c r="QMP42" s="221"/>
      <c r="QMQ42" s="222"/>
      <c r="QMR42" s="222"/>
      <c r="QMS42" s="223"/>
      <c r="QMT42" s="223"/>
      <c r="QMU42" s="224"/>
      <c r="QMV42" s="223"/>
      <c r="QMW42" s="223"/>
      <c r="QMX42" s="223"/>
      <c r="QMY42" s="223"/>
      <c r="QMZ42" s="225"/>
      <c r="QNA42" s="220"/>
      <c r="QNB42" s="221"/>
      <c r="QNC42" s="222"/>
      <c r="QND42" s="222"/>
      <c r="QNE42" s="223"/>
      <c r="QNF42" s="223"/>
      <c r="QNG42" s="224"/>
      <c r="QNH42" s="223"/>
      <c r="QNI42" s="223"/>
      <c r="QNJ42" s="223"/>
      <c r="QNK42" s="223"/>
      <c r="QNL42" s="225"/>
      <c r="QNM42" s="220"/>
      <c r="QNN42" s="221"/>
      <c r="QNO42" s="222"/>
      <c r="QNP42" s="222"/>
      <c r="QNQ42" s="223"/>
      <c r="QNR42" s="223"/>
      <c r="QNS42" s="224"/>
      <c r="QNT42" s="223"/>
      <c r="QNU42" s="223"/>
      <c r="QNV42" s="223"/>
      <c r="QNW42" s="223"/>
      <c r="QNX42" s="225"/>
      <c r="QNY42" s="220"/>
      <c r="QNZ42" s="221"/>
      <c r="QOA42" s="222"/>
      <c r="QOB42" s="222"/>
      <c r="QOC42" s="223"/>
      <c r="QOD42" s="223"/>
      <c r="QOE42" s="224"/>
      <c r="QOF42" s="223"/>
      <c r="QOG42" s="223"/>
      <c r="QOH42" s="223"/>
      <c r="QOI42" s="223"/>
      <c r="QOJ42" s="225"/>
      <c r="QOK42" s="220"/>
      <c r="QOL42" s="221"/>
      <c r="QOM42" s="222"/>
      <c r="QON42" s="222"/>
      <c r="QOO42" s="223"/>
      <c r="QOP42" s="223"/>
      <c r="QOQ42" s="224"/>
      <c r="QOR42" s="223"/>
      <c r="QOS42" s="223"/>
      <c r="QOT42" s="223"/>
      <c r="QOU42" s="223"/>
      <c r="QOV42" s="225"/>
      <c r="QOW42" s="220"/>
      <c r="QOX42" s="221"/>
      <c r="QOY42" s="222"/>
      <c r="QOZ42" s="222"/>
      <c r="QPA42" s="223"/>
      <c r="QPB42" s="223"/>
      <c r="QPC42" s="224"/>
      <c r="QPD42" s="223"/>
      <c r="QPE42" s="223"/>
      <c r="QPF42" s="223"/>
      <c r="QPG42" s="223"/>
      <c r="QPH42" s="225"/>
      <c r="QPI42" s="220"/>
      <c r="QPJ42" s="221"/>
      <c r="QPK42" s="222"/>
      <c r="QPL42" s="222"/>
      <c r="QPM42" s="223"/>
      <c r="QPN42" s="223"/>
      <c r="QPO42" s="224"/>
      <c r="QPP42" s="223"/>
      <c r="QPQ42" s="223"/>
      <c r="QPR42" s="223"/>
      <c r="QPS42" s="223"/>
      <c r="QPT42" s="225"/>
      <c r="QPU42" s="220"/>
      <c r="QPV42" s="221"/>
      <c r="QPW42" s="222"/>
      <c r="QPX42" s="222"/>
      <c r="QPY42" s="223"/>
      <c r="QPZ42" s="223"/>
      <c r="QQA42" s="224"/>
      <c r="QQB42" s="223"/>
      <c r="QQC42" s="223"/>
      <c r="QQD42" s="223"/>
      <c r="QQE42" s="223"/>
      <c r="QQF42" s="225"/>
      <c r="QQG42" s="220"/>
      <c r="QQH42" s="221"/>
      <c r="QQI42" s="222"/>
      <c r="QQJ42" s="222"/>
      <c r="QQK42" s="223"/>
      <c r="QQL42" s="223"/>
      <c r="QQM42" s="224"/>
      <c r="QQN42" s="223"/>
      <c r="QQO42" s="223"/>
      <c r="QQP42" s="223"/>
      <c r="QQQ42" s="223"/>
      <c r="QQR42" s="225"/>
      <c r="QQS42" s="220"/>
      <c r="QQT42" s="221"/>
      <c r="QQU42" s="222"/>
      <c r="QQV42" s="222"/>
      <c r="QQW42" s="223"/>
      <c r="QQX42" s="223"/>
      <c r="QQY42" s="224"/>
      <c r="QQZ42" s="223"/>
      <c r="QRA42" s="223"/>
      <c r="QRB42" s="223"/>
      <c r="QRC42" s="223"/>
      <c r="QRD42" s="225"/>
      <c r="QRE42" s="220"/>
      <c r="QRF42" s="221"/>
      <c r="QRG42" s="222"/>
      <c r="QRH42" s="222"/>
      <c r="QRI42" s="223"/>
      <c r="QRJ42" s="223"/>
      <c r="QRK42" s="224"/>
      <c r="QRL42" s="223"/>
      <c r="QRM42" s="223"/>
      <c r="QRN42" s="223"/>
      <c r="QRO42" s="223"/>
      <c r="QRP42" s="225"/>
      <c r="QRQ42" s="220"/>
      <c r="QRR42" s="221"/>
      <c r="QRS42" s="222"/>
      <c r="QRT42" s="222"/>
      <c r="QRU42" s="223"/>
      <c r="QRV42" s="223"/>
      <c r="QRW42" s="224"/>
      <c r="QRX42" s="223"/>
      <c r="QRY42" s="223"/>
      <c r="QRZ42" s="223"/>
      <c r="QSA42" s="223"/>
      <c r="QSB42" s="225"/>
      <c r="QSC42" s="220"/>
      <c r="QSD42" s="221"/>
      <c r="QSE42" s="222"/>
      <c r="QSF42" s="222"/>
      <c r="QSG42" s="223"/>
      <c r="QSH42" s="223"/>
      <c r="QSI42" s="224"/>
      <c r="QSJ42" s="223"/>
      <c r="QSK42" s="223"/>
      <c r="QSL42" s="223"/>
      <c r="QSM42" s="223"/>
      <c r="QSN42" s="225"/>
      <c r="QSO42" s="220"/>
      <c r="QSP42" s="221"/>
      <c r="QSQ42" s="222"/>
      <c r="QSR42" s="222"/>
      <c r="QSS42" s="223"/>
      <c r="QST42" s="223"/>
      <c r="QSU42" s="224"/>
      <c r="QSV42" s="223"/>
      <c r="QSW42" s="223"/>
      <c r="QSX42" s="223"/>
      <c r="QSY42" s="223"/>
      <c r="QSZ42" s="225"/>
      <c r="QTA42" s="220"/>
      <c r="QTB42" s="221"/>
      <c r="QTC42" s="222"/>
      <c r="QTD42" s="222"/>
      <c r="QTE42" s="223"/>
      <c r="QTF42" s="223"/>
      <c r="QTG42" s="224"/>
      <c r="QTH42" s="223"/>
      <c r="QTI42" s="223"/>
      <c r="QTJ42" s="223"/>
      <c r="QTK42" s="223"/>
      <c r="QTL42" s="225"/>
      <c r="QTM42" s="220"/>
      <c r="QTN42" s="221"/>
      <c r="QTO42" s="222"/>
      <c r="QTP42" s="222"/>
      <c r="QTQ42" s="223"/>
      <c r="QTR42" s="223"/>
      <c r="QTS42" s="224"/>
      <c r="QTT42" s="223"/>
      <c r="QTU42" s="223"/>
      <c r="QTV42" s="223"/>
      <c r="QTW42" s="223"/>
      <c r="QTX42" s="225"/>
      <c r="QTY42" s="220"/>
      <c r="QTZ42" s="221"/>
      <c r="QUA42" s="222"/>
      <c r="QUB42" s="222"/>
      <c r="QUC42" s="223"/>
      <c r="QUD42" s="223"/>
      <c r="QUE42" s="224"/>
      <c r="QUF42" s="223"/>
      <c r="QUG42" s="223"/>
      <c r="QUH42" s="223"/>
      <c r="QUI42" s="223"/>
      <c r="QUJ42" s="225"/>
      <c r="QUK42" s="220"/>
      <c r="QUL42" s="221"/>
      <c r="QUM42" s="222"/>
      <c r="QUN42" s="222"/>
      <c r="QUO42" s="223"/>
      <c r="QUP42" s="223"/>
      <c r="QUQ42" s="224"/>
      <c r="QUR42" s="223"/>
      <c r="QUS42" s="223"/>
      <c r="QUT42" s="223"/>
      <c r="QUU42" s="223"/>
      <c r="QUV42" s="225"/>
      <c r="QUW42" s="220"/>
      <c r="QUX42" s="221"/>
      <c r="QUY42" s="222"/>
      <c r="QUZ42" s="222"/>
      <c r="QVA42" s="223"/>
      <c r="QVB42" s="223"/>
      <c r="QVC42" s="224"/>
      <c r="QVD42" s="223"/>
      <c r="QVE42" s="223"/>
      <c r="QVF42" s="223"/>
      <c r="QVG42" s="223"/>
      <c r="QVH42" s="225"/>
      <c r="QVI42" s="220"/>
      <c r="QVJ42" s="221"/>
      <c r="QVK42" s="222"/>
      <c r="QVL42" s="222"/>
      <c r="QVM42" s="223"/>
      <c r="QVN42" s="223"/>
      <c r="QVO42" s="224"/>
      <c r="QVP42" s="223"/>
      <c r="QVQ42" s="223"/>
      <c r="QVR42" s="223"/>
      <c r="QVS42" s="223"/>
      <c r="QVT42" s="225"/>
      <c r="QVU42" s="220"/>
      <c r="QVV42" s="221"/>
      <c r="QVW42" s="222"/>
      <c r="QVX42" s="222"/>
      <c r="QVY42" s="223"/>
      <c r="QVZ42" s="223"/>
      <c r="QWA42" s="224"/>
      <c r="QWB42" s="223"/>
      <c r="QWC42" s="223"/>
      <c r="QWD42" s="223"/>
      <c r="QWE42" s="223"/>
      <c r="QWF42" s="225"/>
      <c r="QWG42" s="220"/>
      <c r="QWH42" s="221"/>
      <c r="QWI42" s="222"/>
      <c r="QWJ42" s="222"/>
      <c r="QWK42" s="223"/>
      <c r="QWL42" s="223"/>
      <c r="QWM42" s="224"/>
      <c r="QWN42" s="223"/>
      <c r="QWO42" s="223"/>
      <c r="QWP42" s="223"/>
      <c r="QWQ42" s="223"/>
      <c r="QWR42" s="225"/>
      <c r="QWS42" s="220"/>
      <c r="QWT42" s="221"/>
      <c r="QWU42" s="222"/>
      <c r="QWV42" s="222"/>
      <c r="QWW42" s="223"/>
      <c r="QWX42" s="223"/>
      <c r="QWY42" s="224"/>
      <c r="QWZ42" s="223"/>
      <c r="QXA42" s="223"/>
      <c r="QXB42" s="223"/>
      <c r="QXC42" s="223"/>
      <c r="QXD42" s="225"/>
      <c r="QXE42" s="220"/>
      <c r="QXF42" s="221"/>
      <c r="QXG42" s="222"/>
      <c r="QXH42" s="222"/>
      <c r="QXI42" s="223"/>
      <c r="QXJ42" s="223"/>
      <c r="QXK42" s="224"/>
      <c r="QXL42" s="223"/>
      <c r="QXM42" s="223"/>
      <c r="QXN42" s="223"/>
      <c r="QXO42" s="223"/>
      <c r="QXP42" s="225"/>
      <c r="QXQ42" s="220"/>
      <c r="QXR42" s="221"/>
      <c r="QXS42" s="222"/>
      <c r="QXT42" s="222"/>
      <c r="QXU42" s="223"/>
      <c r="QXV42" s="223"/>
      <c r="QXW42" s="224"/>
      <c r="QXX42" s="223"/>
      <c r="QXY42" s="223"/>
      <c r="QXZ42" s="223"/>
      <c r="QYA42" s="223"/>
      <c r="QYB42" s="225"/>
      <c r="QYC42" s="220"/>
      <c r="QYD42" s="221"/>
      <c r="QYE42" s="222"/>
      <c r="QYF42" s="222"/>
      <c r="QYG42" s="223"/>
      <c r="QYH42" s="223"/>
      <c r="QYI42" s="224"/>
      <c r="QYJ42" s="223"/>
      <c r="QYK42" s="223"/>
      <c r="QYL42" s="223"/>
      <c r="QYM42" s="223"/>
      <c r="QYN42" s="225"/>
      <c r="QYO42" s="220"/>
      <c r="QYP42" s="221"/>
      <c r="QYQ42" s="222"/>
      <c r="QYR42" s="222"/>
      <c r="QYS42" s="223"/>
      <c r="QYT42" s="223"/>
      <c r="QYU42" s="224"/>
      <c r="QYV42" s="223"/>
      <c r="QYW42" s="223"/>
      <c r="QYX42" s="223"/>
      <c r="QYY42" s="223"/>
      <c r="QYZ42" s="225"/>
      <c r="QZA42" s="220"/>
      <c r="QZB42" s="221"/>
      <c r="QZC42" s="222"/>
      <c r="QZD42" s="222"/>
      <c r="QZE42" s="223"/>
      <c r="QZF42" s="223"/>
      <c r="QZG42" s="224"/>
      <c r="QZH42" s="223"/>
      <c r="QZI42" s="223"/>
      <c r="QZJ42" s="223"/>
      <c r="QZK42" s="223"/>
      <c r="QZL42" s="225"/>
      <c r="QZM42" s="220"/>
      <c r="QZN42" s="221"/>
      <c r="QZO42" s="222"/>
      <c r="QZP42" s="222"/>
      <c r="QZQ42" s="223"/>
      <c r="QZR42" s="223"/>
      <c r="QZS42" s="224"/>
      <c r="QZT42" s="223"/>
      <c r="QZU42" s="223"/>
      <c r="QZV42" s="223"/>
      <c r="QZW42" s="223"/>
      <c r="QZX42" s="225"/>
      <c r="QZY42" s="220"/>
      <c r="QZZ42" s="221"/>
      <c r="RAA42" s="222"/>
      <c r="RAB42" s="222"/>
      <c r="RAC42" s="223"/>
      <c r="RAD42" s="223"/>
      <c r="RAE42" s="224"/>
      <c r="RAF42" s="223"/>
      <c r="RAG42" s="223"/>
      <c r="RAH42" s="223"/>
      <c r="RAI42" s="223"/>
      <c r="RAJ42" s="225"/>
      <c r="RAK42" s="220"/>
      <c r="RAL42" s="221"/>
      <c r="RAM42" s="222"/>
      <c r="RAN42" s="222"/>
      <c r="RAO42" s="223"/>
      <c r="RAP42" s="223"/>
      <c r="RAQ42" s="224"/>
      <c r="RAR42" s="223"/>
      <c r="RAS42" s="223"/>
      <c r="RAT42" s="223"/>
      <c r="RAU42" s="223"/>
      <c r="RAV42" s="225"/>
      <c r="RAW42" s="220"/>
      <c r="RAX42" s="221"/>
      <c r="RAY42" s="222"/>
      <c r="RAZ42" s="222"/>
      <c r="RBA42" s="223"/>
      <c r="RBB42" s="223"/>
      <c r="RBC42" s="224"/>
      <c r="RBD42" s="223"/>
      <c r="RBE42" s="223"/>
      <c r="RBF42" s="223"/>
      <c r="RBG42" s="223"/>
      <c r="RBH42" s="225"/>
      <c r="RBI42" s="220"/>
      <c r="RBJ42" s="221"/>
      <c r="RBK42" s="222"/>
      <c r="RBL42" s="222"/>
      <c r="RBM42" s="223"/>
      <c r="RBN42" s="223"/>
      <c r="RBO42" s="224"/>
      <c r="RBP42" s="223"/>
      <c r="RBQ42" s="223"/>
      <c r="RBR42" s="223"/>
      <c r="RBS42" s="223"/>
      <c r="RBT42" s="225"/>
      <c r="RBU42" s="220"/>
      <c r="RBV42" s="221"/>
      <c r="RBW42" s="222"/>
      <c r="RBX42" s="222"/>
      <c r="RBY42" s="223"/>
      <c r="RBZ42" s="223"/>
      <c r="RCA42" s="224"/>
      <c r="RCB42" s="223"/>
      <c r="RCC42" s="223"/>
      <c r="RCD42" s="223"/>
      <c r="RCE42" s="223"/>
      <c r="RCF42" s="225"/>
      <c r="RCG42" s="220"/>
      <c r="RCH42" s="221"/>
      <c r="RCI42" s="222"/>
      <c r="RCJ42" s="222"/>
      <c r="RCK42" s="223"/>
      <c r="RCL42" s="223"/>
      <c r="RCM42" s="224"/>
      <c r="RCN42" s="223"/>
      <c r="RCO42" s="223"/>
      <c r="RCP42" s="223"/>
      <c r="RCQ42" s="223"/>
      <c r="RCR42" s="225"/>
      <c r="RCS42" s="220"/>
      <c r="RCT42" s="221"/>
      <c r="RCU42" s="222"/>
      <c r="RCV42" s="222"/>
      <c r="RCW42" s="223"/>
      <c r="RCX42" s="223"/>
      <c r="RCY42" s="224"/>
      <c r="RCZ42" s="223"/>
      <c r="RDA42" s="223"/>
      <c r="RDB42" s="223"/>
      <c r="RDC42" s="223"/>
      <c r="RDD42" s="225"/>
      <c r="RDE42" s="220"/>
      <c r="RDF42" s="221"/>
      <c r="RDG42" s="222"/>
      <c r="RDH42" s="222"/>
      <c r="RDI42" s="223"/>
      <c r="RDJ42" s="223"/>
      <c r="RDK42" s="224"/>
      <c r="RDL42" s="223"/>
      <c r="RDM42" s="223"/>
      <c r="RDN42" s="223"/>
      <c r="RDO42" s="223"/>
      <c r="RDP42" s="225"/>
      <c r="RDQ42" s="220"/>
      <c r="RDR42" s="221"/>
      <c r="RDS42" s="222"/>
      <c r="RDT42" s="222"/>
      <c r="RDU42" s="223"/>
      <c r="RDV42" s="223"/>
      <c r="RDW42" s="224"/>
      <c r="RDX42" s="223"/>
      <c r="RDY42" s="223"/>
      <c r="RDZ42" s="223"/>
      <c r="REA42" s="223"/>
      <c r="REB42" s="225"/>
      <c r="REC42" s="220"/>
      <c r="RED42" s="221"/>
      <c r="REE42" s="222"/>
      <c r="REF42" s="222"/>
      <c r="REG42" s="223"/>
      <c r="REH42" s="223"/>
      <c r="REI42" s="224"/>
      <c r="REJ42" s="223"/>
      <c r="REK42" s="223"/>
      <c r="REL42" s="223"/>
      <c r="REM42" s="223"/>
      <c r="REN42" s="225"/>
      <c r="REO42" s="220"/>
      <c r="REP42" s="221"/>
      <c r="REQ42" s="222"/>
      <c r="RER42" s="222"/>
      <c r="RES42" s="223"/>
      <c r="RET42" s="223"/>
      <c r="REU42" s="224"/>
      <c r="REV42" s="223"/>
      <c r="REW42" s="223"/>
      <c r="REX42" s="223"/>
      <c r="REY42" s="223"/>
      <c r="REZ42" s="225"/>
      <c r="RFA42" s="220"/>
      <c r="RFB42" s="221"/>
      <c r="RFC42" s="222"/>
      <c r="RFD42" s="222"/>
      <c r="RFE42" s="223"/>
      <c r="RFF42" s="223"/>
      <c r="RFG42" s="224"/>
      <c r="RFH42" s="223"/>
      <c r="RFI42" s="223"/>
      <c r="RFJ42" s="223"/>
      <c r="RFK42" s="223"/>
      <c r="RFL42" s="225"/>
      <c r="RFM42" s="220"/>
      <c r="RFN42" s="221"/>
      <c r="RFO42" s="222"/>
      <c r="RFP42" s="222"/>
      <c r="RFQ42" s="223"/>
      <c r="RFR42" s="223"/>
      <c r="RFS42" s="224"/>
      <c r="RFT42" s="223"/>
      <c r="RFU42" s="223"/>
      <c r="RFV42" s="223"/>
      <c r="RFW42" s="223"/>
      <c r="RFX42" s="225"/>
      <c r="RFY42" s="220"/>
      <c r="RFZ42" s="221"/>
      <c r="RGA42" s="222"/>
      <c r="RGB42" s="222"/>
      <c r="RGC42" s="223"/>
      <c r="RGD42" s="223"/>
      <c r="RGE42" s="224"/>
      <c r="RGF42" s="223"/>
      <c r="RGG42" s="223"/>
      <c r="RGH42" s="223"/>
      <c r="RGI42" s="223"/>
      <c r="RGJ42" s="225"/>
      <c r="RGK42" s="220"/>
      <c r="RGL42" s="221"/>
      <c r="RGM42" s="222"/>
      <c r="RGN42" s="222"/>
      <c r="RGO42" s="223"/>
      <c r="RGP42" s="223"/>
      <c r="RGQ42" s="224"/>
      <c r="RGR42" s="223"/>
      <c r="RGS42" s="223"/>
      <c r="RGT42" s="223"/>
      <c r="RGU42" s="223"/>
      <c r="RGV42" s="225"/>
      <c r="RGW42" s="220"/>
      <c r="RGX42" s="221"/>
      <c r="RGY42" s="222"/>
      <c r="RGZ42" s="222"/>
      <c r="RHA42" s="223"/>
      <c r="RHB42" s="223"/>
      <c r="RHC42" s="224"/>
      <c r="RHD42" s="223"/>
      <c r="RHE42" s="223"/>
      <c r="RHF42" s="223"/>
      <c r="RHG42" s="223"/>
      <c r="RHH42" s="225"/>
      <c r="RHI42" s="220"/>
      <c r="RHJ42" s="221"/>
      <c r="RHK42" s="222"/>
      <c r="RHL42" s="222"/>
      <c r="RHM42" s="223"/>
      <c r="RHN42" s="223"/>
      <c r="RHO42" s="224"/>
      <c r="RHP42" s="223"/>
      <c r="RHQ42" s="223"/>
      <c r="RHR42" s="223"/>
      <c r="RHS42" s="223"/>
      <c r="RHT42" s="225"/>
      <c r="RHU42" s="220"/>
      <c r="RHV42" s="221"/>
      <c r="RHW42" s="222"/>
      <c r="RHX42" s="222"/>
      <c r="RHY42" s="223"/>
      <c r="RHZ42" s="223"/>
      <c r="RIA42" s="224"/>
      <c r="RIB42" s="223"/>
      <c r="RIC42" s="223"/>
      <c r="RID42" s="223"/>
      <c r="RIE42" s="223"/>
      <c r="RIF42" s="225"/>
      <c r="RIG42" s="220"/>
      <c r="RIH42" s="221"/>
      <c r="RII42" s="222"/>
      <c r="RIJ42" s="222"/>
      <c r="RIK42" s="223"/>
      <c r="RIL42" s="223"/>
      <c r="RIM42" s="224"/>
      <c r="RIN42" s="223"/>
      <c r="RIO42" s="223"/>
      <c r="RIP42" s="223"/>
      <c r="RIQ42" s="223"/>
      <c r="RIR42" s="225"/>
      <c r="RIS42" s="220"/>
      <c r="RIT42" s="221"/>
      <c r="RIU42" s="222"/>
      <c r="RIV42" s="222"/>
      <c r="RIW42" s="223"/>
      <c r="RIX42" s="223"/>
      <c r="RIY42" s="224"/>
      <c r="RIZ42" s="223"/>
      <c r="RJA42" s="223"/>
      <c r="RJB42" s="223"/>
      <c r="RJC42" s="223"/>
      <c r="RJD42" s="225"/>
      <c r="RJE42" s="220"/>
      <c r="RJF42" s="221"/>
      <c r="RJG42" s="222"/>
      <c r="RJH42" s="222"/>
      <c r="RJI42" s="223"/>
      <c r="RJJ42" s="223"/>
      <c r="RJK42" s="224"/>
      <c r="RJL42" s="223"/>
      <c r="RJM42" s="223"/>
      <c r="RJN42" s="223"/>
      <c r="RJO42" s="223"/>
      <c r="RJP42" s="225"/>
      <c r="RJQ42" s="220"/>
      <c r="RJR42" s="221"/>
      <c r="RJS42" s="222"/>
      <c r="RJT42" s="222"/>
      <c r="RJU42" s="223"/>
      <c r="RJV42" s="223"/>
      <c r="RJW42" s="224"/>
      <c r="RJX42" s="223"/>
      <c r="RJY42" s="223"/>
      <c r="RJZ42" s="223"/>
      <c r="RKA42" s="223"/>
      <c r="RKB42" s="225"/>
      <c r="RKC42" s="220"/>
      <c r="RKD42" s="221"/>
      <c r="RKE42" s="222"/>
      <c r="RKF42" s="222"/>
      <c r="RKG42" s="223"/>
      <c r="RKH42" s="223"/>
      <c r="RKI42" s="224"/>
      <c r="RKJ42" s="223"/>
      <c r="RKK42" s="223"/>
      <c r="RKL42" s="223"/>
      <c r="RKM42" s="223"/>
      <c r="RKN42" s="225"/>
      <c r="RKO42" s="220"/>
      <c r="RKP42" s="221"/>
      <c r="RKQ42" s="222"/>
      <c r="RKR42" s="222"/>
      <c r="RKS42" s="223"/>
      <c r="RKT42" s="223"/>
      <c r="RKU42" s="224"/>
      <c r="RKV42" s="223"/>
      <c r="RKW42" s="223"/>
      <c r="RKX42" s="223"/>
      <c r="RKY42" s="223"/>
      <c r="RKZ42" s="225"/>
      <c r="RLA42" s="220"/>
      <c r="RLB42" s="221"/>
      <c r="RLC42" s="222"/>
      <c r="RLD42" s="222"/>
      <c r="RLE42" s="223"/>
      <c r="RLF42" s="223"/>
      <c r="RLG42" s="224"/>
      <c r="RLH42" s="223"/>
      <c r="RLI42" s="223"/>
      <c r="RLJ42" s="223"/>
      <c r="RLK42" s="223"/>
      <c r="RLL42" s="225"/>
      <c r="RLM42" s="220"/>
      <c r="RLN42" s="221"/>
      <c r="RLO42" s="222"/>
      <c r="RLP42" s="222"/>
      <c r="RLQ42" s="223"/>
      <c r="RLR42" s="223"/>
      <c r="RLS42" s="224"/>
      <c r="RLT42" s="223"/>
      <c r="RLU42" s="223"/>
      <c r="RLV42" s="223"/>
      <c r="RLW42" s="223"/>
      <c r="RLX42" s="225"/>
      <c r="RLY42" s="220"/>
      <c r="RLZ42" s="221"/>
      <c r="RMA42" s="222"/>
      <c r="RMB42" s="222"/>
      <c r="RMC42" s="223"/>
      <c r="RMD42" s="223"/>
      <c r="RME42" s="224"/>
      <c r="RMF42" s="223"/>
      <c r="RMG42" s="223"/>
      <c r="RMH42" s="223"/>
      <c r="RMI42" s="223"/>
      <c r="RMJ42" s="225"/>
      <c r="RMK42" s="220"/>
      <c r="RML42" s="221"/>
      <c r="RMM42" s="222"/>
      <c r="RMN42" s="222"/>
      <c r="RMO42" s="223"/>
      <c r="RMP42" s="223"/>
      <c r="RMQ42" s="224"/>
      <c r="RMR42" s="223"/>
      <c r="RMS42" s="223"/>
      <c r="RMT42" s="223"/>
      <c r="RMU42" s="223"/>
      <c r="RMV42" s="225"/>
      <c r="RMW42" s="220"/>
      <c r="RMX42" s="221"/>
      <c r="RMY42" s="222"/>
      <c r="RMZ42" s="222"/>
      <c r="RNA42" s="223"/>
      <c r="RNB42" s="223"/>
      <c r="RNC42" s="224"/>
      <c r="RND42" s="223"/>
      <c r="RNE42" s="223"/>
      <c r="RNF42" s="223"/>
      <c r="RNG42" s="223"/>
      <c r="RNH42" s="225"/>
      <c r="RNI42" s="220"/>
      <c r="RNJ42" s="221"/>
      <c r="RNK42" s="222"/>
      <c r="RNL42" s="222"/>
      <c r="RNM42" s="223"/>
      <c r="RNN42" s="223"/>
      <c r="RNO42" s="224"/>
      <c r="RNP42" s="223"/>
      <c r="RNQ42" s="223"/>
      <c r="RNR42" s="223"/>
      <c r="RNS42" s="223"/>
      <c r="RNT42" s="225"/>
      <c r="RNU42" s="220"/>
      <c r="RNV42" s="221"/>
      <c r="RNW42" s="222"/>
      <c r="RNX42" s="222"/>
      <c r="RNY42" s="223"/>
      <c r="RNZ42" s="223"/>
      <c r="ROA42" s="224"/>
      <c r="ROB42" s="223"/>
      <c r="ROC42" s="223"/>
      <c r="ROD42" s="223"/>
      <c r="ROE42" s="223"/>
      <c r="ROF42" s="225"/>
      <c r="ROG42" s="220"/>
      <c r="ROH42" s="221"/>
      <c r="ROI42" s="222"/>
      <c r="ROJ42" s="222"/>
      <c r="ROK42" s="223"/>
      <c r="ROL42" s="223"/>
      <c r="ROM42" s="224"/>
      <c r="RON42" s="223"/>
      <c r="ROO42" s="223"/>
      <c r="ROP42" s="223"/>
      <c r="ROQ42" s="223"/>
      <c r="ROR42" s="225"/>
      <c r="ROS42" s="220"/>
      <c r="ROT42" s="221"/>
      <c r="ROU42" s="222"/>
      <c r="ROV42" s="222"/>
      <c r="ROW42" s="223"/>
      <c r="ROX42" s="223"/>
      <c r="ROY42" s="224"/>
      <c r="ROZ42" s="223"/>
      <c r="RPA42" s="223"/>
      <c r="RPB42" s="223"/>
      <c r="RPC42" s="223"/>
      <c r="RPD42" s="225"/>
      <c r="RPE42" s="220"/>
      <c r="RPF42" s="221"/>
      <c r="RPG42" s="222"/>
      <c r="RPH42" s="222"/>
      <c r="RPI42" s="223"/>
      <c r="RPJ42" s="223"/>
      <c r="RPK42" s="224"/>
      <c r="RPL42" s="223"/>
      <c r="RPM42" s="223"/>
      <c r="RPN42" s="223"/>
      <c r="RPO42" s="223"/>
      <c r="RPP42" s="225"/>
      <c r="RPQ42" s="220"/>
      <c r="RPR42" s="221"/>
      <c r="RPS42" s="222"/>
      <c r="RPT42" s="222"/>
      <c r="RPU42" s="223"/>
      <c r="RPV42" s="223"/>
      <c r="RPW42" s="224"/>
      <c r="RPX42" s="223"/>
      <c r="RPY42" s="223"/>
      <c r="RPZ42" s="223"/>
      <c r="RQA42" s="223"/>
      <c r="RQB42" s="225"/>
      <c r="RQC42" s="220"/>
      <c r="RQD42" s="221"/>
      <c r="RQE42" s="222"/>
      <c r="RQF42" s="222"/>
      <c r="RQG42" s="223"/>
      <c r="RQH42" s="223"/>
      <c r="RQI42" s="224"/>
      <c r="RQJ42" s="223"/>
      <c r="RQK42" s="223"/>
      <c r="RQL42" s="223"/>
      <c r="RQM42" s="223"/>
      <c r="RQN42" s="225"/>
      <c r="RQO42" s="220"/>
      <c r="RQP42" s="221"/>
      <c r="RQQ42" s="222"/>
      <c r="RQR42" s="222"/>
      <c r="RQS42" s="223"/>
      <c r="RQT42" s="223"/>
      <c r="RQU42" s="224"/>
      <c r="RQV42" s="223"/>
      <c r="RQW42" s="223"/>
      <c r="RQX42" s="223"/>
      <c r="RQY42" s="223"/>
      <c r="RQZ42" s="225"/>
      <c r="RRA42" s="220"/>
      <c r="RRB42" s="221"/>
      <c r="RRC42" s="222"/>
      <c r="RRD42" s="222"/>
      <c r="RRE42" s="223"/>
      <c r="RRF42" s="223"/>
      <c r="RRG42" s="224"/>
      <c r="RRH42" s="223"/>
      <c r="RRI42" s="223"/>
      <c r="RRJ42" s="223"/>
      <c r="RRK42" s="223"/>
      <c r="RRL42" s="225"/>
      <c r="RRM42" s="220"/>
      <c r="RRN42" s="221"/>
      <c r="RRO42" s="222"/>
      <c r="RRP42" s="222"/>
      <c r="RRQ42" s="223"/>
      <c r="RRR42" s="223"/>
      <c r="RRS42" s="224"/>
      <c r="RRT42" s="223"/>
      <c r="RRU42" s="223"/>
      <c r="RRV42" s="223"/>
      <c r="RRW42" s="223"/>
      <c r="RRX42" s="225"/>
      <c r="RRY42" s="220"/>
      <c r="RRZ42" s="221"/>
      <c r="RSA42" s="222"/>
      <c r="RSB42" s="222"/>
      <c r="RSC42" s="223"/>
      <c r="RSD42" s="223"/>
      <c r="RSE42" s="224"/>
      <c r="RSF42" s="223"/>
      <c r="RSG42" s="223"/>
      <c r="RSH42" s="223"/>
      <c r="RSI42" s="223"/>
      <c r="RSJ42" s="225"/>
      <c r="RSK42" s="220"/>
      <c r="RSL42" s="221"/>
      <c r="RSM42" s="222"/>
      <c r="RSN42" s="222"/>
      <c r="RSO42" s="223"/>
      <c r="RSP42" s="223"/>
      <c r="RSQ42" s="224"/>
      <c r="RSR42" s="223"/>
      <c r="RSS42" s="223"/>
      <c r="RST42" s="223"/>
      <c r="RSU42" s="223"/>
      <c r="RSV42" s="225"/>
      <c r="RSW42" s="220"/>
      <c r="RSX42" s="221"/>
      <c r="RSY42" s="222"/>
      <c r="RSZ42" s="222"/>
      <c r="RTA42" s="223"/>
      <c r="RTB42" s="223"/>
      <c r="RTC42" s="224"/>
      <c r="RTD42" s="223"/>
      <c r="RTE42" s="223"/>
      <c r="RTF42" s="223"/>
      <c r="RTG42" s="223"/>
      <c r="RTH42" s="225"/>
      <c r="RTI42" s="220"/>
      <c r="RTJ42" s="221"/>
      <c r="RTK42" s="222"/>
      <c r="RTL42" s="222"/>
      <c r="RTM42" s="223"/>
      <c r="RTN42" s="223"/>
      <c r="RTO42" s="224"/>
      <c r="RTP42" s="223"/>
      <c r="RTQ42" s="223"/>
      <c r="RTR42" s="223"/>
      <c r="RTS42" s="223"/>
      <c r="RTT42" s="225"/>
      <c r="RTU42" s="220"/>
      <c r="RTV42" s="221"/>
      <c r="RTW42" s="222"/>
      <c r="RTX42" s="222"/>
      <c r="RTY42" s="223"/>
      <c r="RTZ42" s="223"/>
      <c r="RUA42" s="224"/>
      <c r="RUB42" s="223"/>
      <c r="RUC42" s="223"/>
      <c r="RUD42" s="223"/>
      <c r="RUE42" s="223"/>
      <c r="RUF42" s="225"/>
      <c r="RUG42" s="220"/>
      <c r="RUH42" s="221"/>
      <c r="RUI42" s="222"/>
      <c r="RUJ42" s="222"/>
      <c r="RUK42" s="223"/>
      <c r="RUL42" s="223"/>
      <c r="RUM42" s="224"/>
      <c r="RUN42" s="223"/>
      <c r="RUO42" s="223"/>
      <c r="RUP42" s="223"/>
      <c r="RUQ42" s="223"/>
      <c r="RUR42" s="225"/>
      <c r="RUS42" s="220"/>
      <c r="RUT42" s="221"/>
      <c r="RUU42" s="222"/>
      <c r="RUV42" s="222"/>
      <c r="RUW42" s="223"/>
      <c r="RUX42" s="223"/>
      <c r="RUY42" s="224"/>
      <c r="RUZ42" s="223"/>
      <c r="RVA42" s="223"/>
      <c r="RVB42" s="223"/>
      <c r="RVC42" s="223"/>
      <c r="RVD42" s="225"/>
      <c r="RVE42" s="220"/>
      <c r="RVF42" s="221"/>
      <c r="RVG42" s="222"/>
      <c r="RVH42" s="222"/>
      <c r="RVI42" s="223"/>
      <c r="RVJ42" s="223"/>
      <c r="RVK42" s="224"/>
      <c r="RVL42" s="223"/>
      <c r="RVM42" s="223"/>
      <c r="RVN42" s="223"/>
      <c r="RVO42" s="223"/>
      <c r="RVP42" s="225"/>
      <c r="RVQ42" s="220"/>
      <c r="RVR42" s="221"/>
      <c r="RVS42" s="222"/>
      <c r="RVT42" s="222"/>
      <c r="RVU42" s="223"/>
      <c r="RVV42" s="223"/>
      <c r="RVW42" s="224"/>
      <c r="RVX42" s="223"/>
      <c r="RVY42" s="223"/>
      <c r="RVZ42" s="223"/>
      <c r="RWA42" s="223"/>
      <c r="RWB42" s="225"/>
      <c r="RWC42" s="220"/>
      <c r="RWD42" s="221"/>
      <c r="RWE42" s="222"/>
      <c r="RWF42" s="222"/>
      <c r="RWG42" s="223"/>
      <c r="RWH42" s="223"/>
      <c r="RWI42" s="224"/>
      <c r="RWJ42" s="223"/>
      <c r="RWK42" s="223"/>
      <c r="RWL42" s="223"/>
      <c r="RWM42" s="223"/>
      <c r="RWN42" s="225"/>
      <c r="RWO42" s="220"/>
      <c r="RWP42" s="221"/>
      <c r="RWQ42" s="222"/>
      <c r="RWR42" s="222"/>
      <c r="RWS42" s="223"/>
      <c r="RWT42" s="223"/>
      <c r="RWU42" s="224"/>
      <c r="RWV42" s="223"/>
      <c r="RWW42" s="223"/>
      <c r="RWX42" s="223"/>
      <c r="RWY42" s="223"/>
      <c r="RWZ42" s="225"/>
      <c r="RXA42" s="220"/>
      <c r="RXB42" s="221"/>
      <c r="RXC42" s="222"/>
      <c r="RXD42" s="222"/>
      <c r="RXE42" s="223"/>
      <c r="RXF42" s="223"/>
      <c r="RXG42" s="224"/>
      <c r="RXH42" s="223"/>
      <c r="RXI42" s="223"/>
      <c r="RXJ42" s="223"/>
      <c r="RXK42" s="223"/>
      <c r="RXL42" s="225"/>
      <c r="RXM42" s="220"/>
      <c r="RXN42" s="221"/>
      <c r="RXO42" s="222"/>
      <c r="RXP42" s="222"/>
      <c r="RXQ42" s="223"/>
      <c r="RXR42" s="223"/>
      <c r="RXS42" s="224"/>
      <c r="RXT42" s="223"/>
      <c r="RXU42" s="223"/>
      <c r="RXV42" s="223"/>
      <c r="RXW42" s="223"/>
      <c r="RXX42" s="225"/>
      <c r="RXY42" s="220"/>
      <c r="RXZ42" s="221"/>
      <c r="RYA42" s="222"/>
      <c r="RYB42" s="222"/>
      <c r="RYC42" s="223"/>
      <c r="RYD42" s="223"/>
      <c r="RYE42" s="224"/>
      <c r="RYF42" s="223"/>
      <c r="RYG42" s="223"/>
      <c r="RYH42" s="223"/>
      <c r="RYI42" s="223"/>
      <c r="RYJ42" s="225"/>
      <c r="RYK42" s="220"/>
      <c r="RYL42" s="221"/>
      <c r="RYM42" s="222"/>
      <c r="RYN42" s="222"/>
      <c r="RYO42" s="223"/>
      <c r="RYP42" s="223"/>
      <c r="RYQ42" s="224"/>
      <c r="RYR42" s="223"/>
      <c r="RYS42" s="223"/>
      <c r="RYT42" s="223"/>
      <c r="RYU42" s="223"/>
      <c r="RYV42" s="225"/>
      <c r="RYW42" s="220"/>
      <c r="RYX42" s="221"/>
      <c r="RYY42" s="222"/>
      <c r="RYZ42" s="222"/>
      <c r="RZA42" s="223"/>
      <c r="RZB42" s="223"/>
      <c r="RZC42" s="224"/>
      <c r="RZD42" s="223"/>
      <c r="RZE42" s="223"/>
      <c r="RZF42" s="223"/>
      <c r="RZG42" s="223"/>
      <c r="RZH42" s="225"/>
      <c r="RZI42" s="220"/>
      <c r="RZJ42" s="221"/>
      <c r="RZK42" s="222"/>
      <c r="RZL42" s="222"/>
      <c r="RZM42" s="223"/>
      <c r="RZN42" s="223"/>
      <c r="RZO42" s="224"/>
      <c r="RZP42" s="223"/>
      <c r="RZQ42" s="223"/>
      <c r="RZR42" s="223"/>
      <c r="RZS42" s="223"/>
      <c r="RZT42" s="225"/>
      <c r="RZU42" s="220"/>
      <c r="RZV42" s="221"/>
      <c r="RZW42" s="222"/>
      <c r="RZX42" s="222"/>
      <c r="RZY42" s="223"/>
      <c r="RZZ42" s="223"/>
      <c r="SAA42" s="224"/>
      <c r="SAB42" s="223"/>
      <c r="SAC42" s="223"/>
      <c r="SAD42" s="223"/>
      <c r="SAE42" s="223"/>
      <c r="SAF42" s="225"/>
      <c r="SAG42" s="220"/>
      <c r="SAH42" s="221"/>
      <c r="SAI42" s="222"/>
      <c r="SAJ42" s="222"/>
      <c r="SAK42" s="223"/>
      <c r="SAL42" s="223"/>
      <c r="SAM42" s="224"/>
      <c r="SAN42" s="223"/>
      <c r="SAO42" s="223"/>
      <c r="SAP42" s="223"/>
      <c r="SAQ42" s="223"/>
      <c r="SAR42" s="225"/>
      <c r="SAS42" s="220"/>
      <c r="SAT42" s="221"/>
      <c r="SAU42" s="222"/>
      <c r="SAV42" s="222"/>
      <c r="SAW42" s="223"/>
      <c r="SAX42" s="223"/>
      <c r="SAY42" s="224"/>
      <c r="SAZ42" s="223"/>
      <c r="SBA42" s="223"/>
      <c r="SBB42" s="223"/>
      <c r="SBC42" s="223"/>
      <c r="SBD42" s="225"/>
      <c r="SBE42" s="220"/>
      <c r="SBF42" s="221"/>
      <c r="SBG42" s="222"/>
      <c r="SBH42" s="222"/>
      <c r="SBI42" s="223"/>
      <c r="SBJ42" s="223"/>
      <c r="SBK42" s="224"/>
      <c r="SBL42" s="223"/>
      <c r="SBM42" s="223"/>
      <c r="SBN42" s="223"/>
      <c r="SBO42" s="223"/>
      <c r="SBP42" s="225"/>
      <c r="SBQ42" s="220"/>
      <c r="SBR42" s="221"/>
      <c r="SBS42" s="222"/>
      <c r="SBT42" s="222"/>
      <c r="SBU42" s="223"/>
      <c r="SBV42" s="223"/>
      <c r="SBW42" s="224"/>
      <c r="SBX42" s="223"/>
      <c r="SBY42" s="223"/>
      <c r="SBZ42" s="223"/>
      <c r="SCA42" s="223"/>
      <c r="SCB42" s="225"/>
      <c r="SCC42" s="220"/>
      <c r="SCD42" s="221"/>
      <c r="SCE42" s="222"/>
      <c r="SCF42" s="222"/>
      <c r="SCG42" s="223"/>
      <c r="SCH42" s="223"/>
      <c r="SCI42" s="224"/>
      <c r="SCJ42" s="223"/>
      <c r="SCK42" s="223"/>
      <c r="SCL42" s="223"/>
      <c r="SCM42" s="223"/>
      <c r="SCN42" s="225"/>
      <c r="SCO42" s="220"/>
      <c r="SCP42" s="221"/>
      <c r="SCQ42" s="222"/>
      <c r="SCR42" s="222"/>
      <c r="SCS42" s="223"/>
      <c r="SCT42" s="223"/>
      <c r="SCU42" s="224"/>
      <c r="SCV42" s="223"/>
      <c r="SCW42" s="223"/>
      <c r="SCX42" s="223"/>
      <c r="SCY42" s="223"/>
      <c r="SCZ42" s="225"/>
      <c r="SDA42" s="220"/>
      <c r="SDB42" s="221"/>
      <c r="SDC42" s="222"/>
      <c r="SDD42" s="222"/>
      <c r="SDE42" s="223"/>
      <c r="SDF42" s="223"/>
      <c r="SDG42" s="224"/>
      <c r="SDH42" s="223"/>
      <c r="SDI42" s="223"/>
      <c r="SDJ42" s="223"/>
      <c r="SDK42" s="223"/>
      <c r="SDL42" s="225"/>
      <c r="SDM42" s="220"/>
      <c r="SDN42" s="221"/>
      <c r="SDO42" s="222"/>
      <c r="SDP42" s="222"/>
      <c r="SDQ42" s="223"/>
      <c r="SDR42" s="223"/>
      <c r="SDS42" s="224"/>
      <c r="SDT42" s="223"/>
      <c r="SDU42" s="223"/>
      <c r="SDV42" s="223"/>
      <c r="SDW42" s="223"/>
      <c r="SDX42" s="225"/>
      <c r="SDY42" s="220"/>
      <c r="SDZ42" s="221"/>
      <c r="SEA42" s="222"/>
      <c r="SEB42" s="222"/>
      <c r="SEC42" s="223"/>
      <c r="SED42" s="223"/>
      <c r="SEE42" s="224"/>
      <c r="SEF42" s="223"/>
      <c r="SEG42" s="223"/>
      <c r="SEH42" s="223"/>
      <c r="SEI42" s="223"/>
      <c r="SEJ42" s="225"/>
      <c r="SEK42" s="220"/>
      <c r="SEL42" s="221"/>
      <c r="SEM42" s="222"/>
      <c r="SEN42" s="222"/>
      <c r="SEO42" s="223"/>
      <c r="SEP42" s="223"/>
      <c r="SEQ42" s="224"/>
      <c r="SER42" s="223"/>
      <c r="SES42" s="223"/>
      <c r="SET42" s="223"/>
      <c r="SEU42" s="223"/>
      <c r="SEV42" s="225"/>
      <c r="SEW42" s="220"/>
      <c r="SEX42" s="221"/>
      <c r="SEY42" s="222"/>
      <c r="SEZ42" s="222"/>
      <c r="SFA42" s="223"/>
      <c r="SFB42" s="223"/>
      <c r="SFC42" s="224"/>
      <c r="SFD42" s="223"/>
      <c r="SFE42" s="223"/>
      <c r="SFF42" s="223"/>
      <c r="SFG42" s="223"/>
      <c r="SFH42" s="225"/>
      <c r="SFI42" s="220"/>
      <c r="SFJ42" s="221"/>
      <c r="SFK42" s="222"/>
      <c r="SFL42" s="222"/>
      <c r="SFM42" s="223"/>
      <c r="SFN42" s="223"/>
      <c r="SFO42" s="224"/>
      <c r="SFP42" s="223"/>
      <c r="SFQ42" s="223"/>
      <c r="SFR42" s="223"/>
      <c r="SFS42" s="223"/>
      <c r="SFT42" s="225"/>
      <c r="SFU42" s="220"/>
      <c r="SFV42" s="221"/>
      <c r="SFW42" s="222"/>
      <c r="SFX42" s="222"/>
      <c r="SFY42" s="223"/>
      <c r="SFZ42" s="223"/>
      <c r="SGA42" s="224"/>
      <c r="SGB42" s="223"/>
      <c r="SGC42" s="223"/>
      <c r="SGD42" s="223"/>
      <c r="SGE42" s="223"/>
      <c r="SGF42" s="225"/>
      <c r="SGG42" s="220"/>
      <c r="SGH42" s="221"/>
      <c r="SGI42" s="222"/>
      <c r="SGJ42" s="222"/>
      <c r="SGK42" s="223"/>
      <c r="SGL42" s="223"/>
      <c r="SGM42" s="224"/>
      <c r="SGN42" s="223"/>
      <c r="SGO42" s="223"/>
      <c r="SGP42" s="223"/>
      <c r="SGQ42" s="223"/>
      <c r="SGR42" s="225"/>
      <c r="SGS42" s="220"/>
      <c r="SGT42" s="221"/>
      <c r="SGU42" s="222"/>
      <c r="SGV42" s="222"/>
      <c r="SGW42" s="223"/>
      <c r="SGX42" s="223"/>
      <c r="SGY42" s="224"/>
      <c r="SGZ42" s="223"/>
      <c r="SHA42" s="223"/>
      <c r="SHB42" s="223"/>
      <c r="SHC42" s="223"/>
      <c r="SHD42" s="225"/>
      <c r="SHE42" s="220"/>
      <c r="SHF42" s="221"/>
      <c r="SHG42" s="222"/>
      <c r="SHH42" s="222"/>
      <c r="SHI42" s="223"/>
      <c r="SHJ42" s="223"/>
      <c r="SHK42" s="224"/>
      <c r="SHL42" s="223"/>
      <c r="SHM42" s="223"/>
      <c r="SHN42" s="223"/>
      <c r="SHO42" s="223"/>
      <c r="SHP42" s="225"/>
      <c r="SHQ42" s="220"/>
      <c r="SHR42" s="221"/>
      <c r="SHS42" s="222"/>
      <c r="SHT42" s="222"/>
      <c r="SHU42" s="223"/>
      <c r="SHV42" s="223"/>
      <c r="SHW42" s="224"/>
      <c r="SHX42" s="223"/>
      <c r="SHY42" s="223"/>
      <c r="SHZ42" s="223"/>
      <c r="SIA42" s="223"/>
      <c r="SIB42" s="225"/>
      <c r="SIC42" s="220"/>
      <c r="SID42" s="221"/>
      <c r="SIE42" s="222"/>
      <c r="SIF42" s="222"/>
      <c r="SIG42" s="223"/>
      <c r="SIH42" s="223"/>
      <c r="SII42" s="224"/>
      <c r="SIJ42" s="223"/>
      <c r="SIK42" s="223"/>
      <c r="SIL42" s="223"/>
      <c r="SIM42" s="223"/>
      <c r="SIN42" s="225"/>
      <c r="SIO42" s="220"/>
      <c r="SIP42" s="221"/>
      <c r="SIQ42" s="222"/>
      <c r="SIR42" s="222"/>
      <c r="SIS42" s="223"/>
      <c r="SIT42" s="223"/>
      <c r="SIU42" s="224"/>
      <c r="SIV42" s="223"/>
      <c r="SIW42" s="223"/>
      <c r="SIX42" s="223"/>
      <c r="SIY42" s="223"/>
      <c r="SIZ42" s="225"/>
      <c r="SJA42" s="220"/>
      <c r="SJB42" s="221"/>
      <c r="SJC42" s="222"/>
      <c r="SJD42" s="222"/>
      <c r="SJE42" s="223"/>
      <c r="SJF42" s="223"/>
      <c r="SJG42" s="224"/>
      <c r="SJH42" s="223"/>
      <c r="SJI42" s="223"/>
      <c r="SJJ42" s="223"/>
      <c r="SJK42" s="223"/>
      <c r="SJL42" s="225"/>
      <c r="SJM42" s="220"/>
      <c r="SJN42" s="221"/>
      <c r="SJO42" s="222"/>
      <c r="SJP42" s="222"/>
      <c r="SJQ42" s="223"/>
      <c r="SJR42" s="223"/>
      <c r="SJS42" s="224"/>
      <c r="SJT42" s="223"/>
      <c r="SJU42" s="223"/>
      <c r="SJV42" s="223"/>
      <c r="SJW42" s="223"/>
      <c r="SJX42" s="225"/>
      <c r="SJY42" s="220"/>
      <c r="SJZ42" s="221"/>
      <c r="SKA42" s="222"/>
      <c r="SKB42" s="222"/>
      <c r="SKC42" s="223"/>
      <c r="SKD42" s="223"/>
      <c r="SKE42" s="224"/>
      <c r="SKF42" s="223"/>
      <c r="SKG42" s="223"/>
      <c r="SKH42" s="223"/>
      <c r="SKI42" s="223"/>
      <c r="SKJ42" s="225"/>
      <c r="SKK42" s="220"/>
      <c r="SKL42" s="221"/>
      <c r="SKM42" s="222"/>
      <c r="SKN42" s="222"/>
      <c r="SKO42" s="223"/>
      <c r="SKP42" s="223"/>
      <c r="SKQ42" s="224"/>
      <c r="SKR42" s="223"/>
      <c r="SKS42" s="223"/>
      <c r="SKT42" s="223"/>
      <c r="SKU42" s="223"/>
      <c r="SKV42" s="225"/>
      <c r="SKW42" s="220"/>
      <c r="SKX42" s="221"/>
      <c r="SKY42" s="222"/>
      <c r="SKZ42" s="222"/>
      <c r="SLA42" s="223"/>
      <c r="SLB42" s="223"/>
      <c r="SLC42" s="224"/>
      <c r="SLD42" s="223"/>
      <c r="SLE42" s="223"/>
      <c r="SLF42" s="223"/>
      <c r="SLG42" s="223"/>
      <c r="SLH42" s="225"/>
      <c r="SLI42" s="220"/>
      <c r="SLJ42" s="221"/>
      <c r="SLK42" s="222"/>
      <c r="SLL42" s="222"/>
      <c r="SLM42" s="223"/>
      <c r="SLN42" s="223"/>
      <c r="SLO42" s="224"/>
      <c r="SLP42" s="223"/>
      <c r="SLQ42" s="223"/>
      <c r="SLR42" s="223"/>
      <c r="SLS42" s="223"/>
      <c r="SLT42" s="225"/>
      <c r="SLU42" s="220"/>
      <c r="SLV42" s="221"/>
      <c r="SLW42" s="222"/>
      <c r="SLX42" s="222"/>
      <c r="SLY42" s="223"/>
      <c r="SLZ42" s="223"/>
      <c r="SMA42" s="224"/>
      <c r="SMB42" s="223"/>
      <c r="SMC42" s="223"/>
      <c r="SMD42" s="223"/>
      <c r="SME42" s="223"/>
      <c r="SMF42" s="225"/>
      <c r="SMG42" s="220"/>
      <c r="SMH42" s="221"/>
      <c r="SMI42" s="222"/>
      <c r="SMJ42" s="222"/>
      <c r="SMK42" s="223"/>
      <c r="SML42" s="223"/>
      <c r="SMM42" s="224"/>
      <c r="SMN42" s="223"/>
      <c r="SMO42" s="223"/>
      <c r="SMP42" s="223"/>
      <c r="SMQ42" s="223"/>
      <c r="SMR42" s="225"/>
      <c r="SMS42" s="220"/>
      <c r="SMT42" s="221"/>
      <c r="SMU42" s="222"/>
      <c r="SMV42" s="222"/>
      <c r="SMW42" s="223"/>
      <c r="SMX42" s="223"/>
      <c r="SMY42" s="224"/>
      <c r="SMZ42" s="223"/>
      <c r="SNA42" s="223"/>
      <c r="SNB42" s="223"/>
      <c r="SNC42" s="223"/>
      <c r="SND42" s="225"/>
      <c r="SNE42" s="220"/>
      <c r="SNF42" s="221"/>
      <c r="SNG42" s="222"/>
      <c r="SNH42" s="222"/>
      <c r="SNI42" s="223"/>
      <c r="SNJ42" s="223"/>
      <c r="SNK42" s="224"/>
      <c r="SNL42" s="223"/>
      <c r="SNM42" s="223"/>
      <c r="SNN42" s="223"/>
      <c r="SNO42" s="223"/>
      <c r="SNP42" s="225"/>
      <c r="SNQ42" s="220"/>
      <c r="SNR42" s="221"/>
      <c r="SNS42" s="222"/>
      <c r="SNT42" s="222"/>
      <c r="SNU42" s="223"/>
      <c r="SNV42" s="223"/>
      <c r="SNW42" s="224"/>
      <c r="SNX42" s="223"/>
      <c r="SNY42" s="223"/>
      <c r="SNZ42" s="223"/>
      <c r="SOA42" s="223"/>
      <c r="SOB42" s="225"/>
      <c r="SOC42" s="220"/>
      <c r="SOD42" s="221"/>
      <c r="SOE42" s="222"/>
      <c r="SOF42" s="222"/>
      <c r="SOG42" s="223"/>
      <c r="SOH42" s="223"/>
      <c r="SOI42" s="224"/>
      <c r="SOJ42" s="223"/>
      <c r="SOK42" s="223"/>
      <c r="SOL42" s="223"/>
      <c r="SOM42" s="223"/>
      <c r="SON42" s="225"/>
      <c r="SOO42" s="220"/>
      <c r="SOP42" s="221"/>
      <c r="SOQ42" s="222"/>
      <c r="SOR42" s="222"/>
      <c r="SOS42" s="223"/>
      <c r="SOT42" s="223"/>
      <c r="SOU42" s="224"/>
      <c r="SOV42" s="223"/>
      <c r="SOW42" s="223"/>
      <c r="SOX42" s="223"/>
      <c r="SOY42" s="223"/>
      <c r="SOZ42" s="225"/>
      <c r="SPA42" s="220"/>
      <c r="SPB42" s="221"/>
      <c r="SPC42" s="222"/>
      <c r="SPD42" s="222"/>
      <c r="SPE42" s="223"/>
      <c r="SPF42" s="223"/>
      <c r="SPG42" s="224"/>
      <c r="SPH42" s="223"/>
      <c r="SPI42" s="223"/>
      <c r="SPJ42" s="223"/>
      <c r="SPK42" s="223"/>
      <c r="SPL42" s="225"/>
      <c r="SPM42" s="220"/>
      <c r="SPN42" s="221"/>
      <c r="SPO42" s="222"/>
      <c r="SPP42" s="222"/>
      <c r="SPQ42" s="223"/>
      <c r="SPR42" s="223"/>
      <c r="SPS42" s="224"/>
      <c r="SPT42" s="223"/>
      <c r="SPU42" s="223"/>
      <c r="SPV42" s="223"/>
      <c r="SPW42" s="223"/>
      <c r="SPX42" s="225"/>
      <c r="SPY42" s="220"/>
      <c r="SPZ42" s="221"/>
      <c r="SQA42" s="222"/>
      <c r="SQB42" s="222"/>
      <c r="SQC42" s="223"/>
      <c r="SQD42" s="223"/>
      <c r="SQE42" s="224"/>
      <c r="SQF42" s="223"/>
      <c r="SQG42" s="223"/>
      <c r="SQH42" s="223"/>
      <c r="SQI42" s="223"/>
      <c r="SQJ42" s="225"/>
      <c r="SQK42" s="220"/>
      <c r="SQL42" s="221"/>
      <c r="SQM42" s="222"/>
      <c r="SQN42" s="222"/>
      <c r="SQO42" s="223"/>
      <c r="SQP42" s="223"/>
      <c r="SQQ42" s="224"/>
      <c r="SQR42" s="223"/>
      <c r="SQS42" s="223"/>
      <c r="SQT42" s="223"/>
      <c r="SQU42" s="223"/>
      <c r="SQV42" s="225"/>
      <c r="SQW42" s="220"/>
      <c r="SQX42" s="221"/>
      <c r="SQY42" s="222"/>
      <c r="SQZ42" s="222"/>
      <c r="SRA42" s="223"/>
      <c r="SRB42" s="223"/>
      <c r="SRC42" s="224"/>
      <c r="SRD42" s="223"/>
      <c r="SRE42" s="223"/>
      <c r="SRF42" s="223"/>
      <c r="SRG42" s="223"/>
      <c r="SRH42" s="225"/>
      <c r="SRI42" s="220"/>
      <c r="SRJ42" s="221"/>
      <c r="SRK42" s="222"/>
      <c r="SRL42" s="222"/>
      <c r="SRM42" s="223"/>
      <c r="SRN42" s="223"/>
      <c r="SRO42" s="224"/>
      <c r="SRP42" s="223"/>
      <c r="SRQ42" s="223"/>
      <c r="SRR42" s="223"/>
      <c r="SRS42" s="223"/>
      <c r="SRT42" s="225"/>
      <c r="SRU42" s="220"/>
      <c r="SRV42" s="221"/>
      <c r="SRW42" s="222"/>
      <c r="SRX42" s="222"/>
      <c r="SRY42" s="223"/>
      <c r="SRZ42" s="223"/>
      <c r="SSA42" s="224"/>
      <c r="SSB42" s="223"/>
      <c r="SSC42" s="223"/>
      <c r="SSD42" s="223"/>
      <c r="SSE42" s="223"/>
      <c r="SSF42" s="225"/>
      <c r="SSG42" s="220"/>
      <c r="SSH42" s="221"/>
      <c r="SSI42" s="222"/>
      <c r="SSJ42" s="222"/>
      <c r="SSK42" s="223"/>
      <c r="SSL42" s="223"/>
      <c r="SSM42" s="224"/>
      <c r="SSN42" s="223"/>
      <c r="SSO42" s="223"/>
      <c r="SSP42" s="223"/>
      <c r="SSQ42" s="223"/>
      <c r="SSR42" s="225"/>
      <c r="SSS42" s="220"/>
      <c r="SST42" s="221"/>
      <c r="SSU42" s="222"/>
      <c r="SSV42" s="222"/>
      <c r="SSW42" s="223"/>
      <c r="SSX42" s="223"/>
      <c r="SSY42" s="224"/>
      <c r="SSZ42" s="223"/>
      <c r="STA42" s="223"/>
      <c r="STB42" s="223"/>
      <c r="STC42" s="223"/>
      <c r="STD42" s="225"/>
      <c r="STE42" s="220"/>
      <c r="STF42" s="221"/>
      <c r="STG42" s="222"/>
      <c r="STH42" s="222"/>
      <c r="STI42" s="223"/>
      <c r="STJ42" s="223"/>
      <c r="STK42" s="224"/>
      <c r="STL42" s="223"/>
      <c r="STM42" s="223"/>
      <c r="STN42" s="223"/>
      <c r="STO42" s="223"/>
      <c r="STP42" s="225"/>
      <c r="STQ42" s="220"/>
      <c r="STR42" s="221"/>
      <c r="STS42" s="222"/>
      <c r="STT42" s="222"/>
      <c r="STU42" s="223"/>
      <c r="STV42" s="223"/>
      <c r="STW42" s="224"/>
      <c r="STX42" s="223"/>
      <c r="STY42" s="223"/>
      <c r="STZ42" s="223"/>
      <c r="SUA42" s="223"/>
      <c r="SUB42" s="225"/>
      <c r="SUC42" s="220"/>
      <c r="SUD42" s="221"/>
      <c r="SUE42" s="222"/>
      <c r="SUF42" s="222"/>
      <c r="SUG42" s="223"/>
      <c r="SUH42" s="223"/>
      <c r="SUI42" s="224"/>
      <c r="SUJ42" s="223"/>
      <c r="SUK42" s="223"/>
      <c r="SUL42" s="223"/>
      <c r="SUM42" s="223"/>
      <c r="SUN42" s="225"/>
      <c r="SUO42" s="220"/>
      <c r="SUP42" s="221"/>
      <c r="SUQ42" s="222"/>
      <c r="SUR42" s="222"/>
      <c r="SUS42" s="223"/>
      <c r="SUT42" s="223"/>
      <c r="SUU42" s="224"/>
      <c r="SUV42" s="223"/>
      <c r="SUW42" s="223"/>
      <c r="SUX42" s="223"/>
      <c r="SUY42" s="223"/>
      <c r="SUZ42" s="225"/>
      <c r="SVA42" s="220"/>
      <c r="SVB42" s="221"/>
      <c r="SVC42" s="222"/>
      <c r="SVD42" s="222"/>
      <c r="SVE42" s="223"/>
      <c r="SVF42" s="223"/>
      <c r="SVG42" s="224"/>
      <c r="SVH42" s="223"/>
      <c r="SVI42" s="223"/>
      <c r="SVJ42" s="223"/>
      <c r="SVK42" s="223"/>
      <c r="SVL42" s="225"/>
      <c r="SVM42" s="220"/>
      <c r="SVN42" s="221"/>
      <c r="SVO42" s="222"/>
      <c r="SVP42" s="222"/>
      <c r="SVQ42" s="223"/>
      <c r="SVR42" s="223"/>
      <c r="SVS42" s="224"/>
      <c r="SVT42" s="223"/>
      <c r="SVU42" s="223"/>
      <c r="SVV42" s="223"/>
      <c r="SVW42" s="223"/>
      <c r="SVX42" s="225"/>
      <c r="SVY42" s="220"/>
      <c r="SVZ42" s="221"/>
      <c r="SWA42" s="222"/>
      <c r="SWB42" s="222"/>
      <c r="SWC42" s="223"/>
      <c r="SWD42" s="223"/>
      <c r="SWE42" s="224"/>
      <c r="SWF42" s="223"/>
      <c r="SWG42" s="223"/>
      <c r="SWH42" s="223"/>
      <c r="SWI42" s="223"/>
      <c r="SWJ42" s="225"/>
      <c r="SWK42" s="220"/>
      <c r="SWL42" s="221"/>
      <c r="SWM42" s="222"/>
      <c r="SWN42" s="222"/>
      <c r="SWO42" s="223"/>
      <c r="SWP42" s="223"/>
      <c r="SWQ42" s="224"/>
      <c r="SWR42" s="223"/>
      <c r="SWS42" s="223"/>
      <c r="SWT42" s="223"/>
      <c r="SWU42" s="223"/>
      <c r="SWV42" s="225"/>
      <c r="SWW42" s="220"/>
      <c r="SWX42" s="221"/>
      <c r="SWY42" s="222"/>
      <c r="SWZ42" s="222"/>
      <c r="SXA42" s="223"/>
      <c r="SXB42" s="223"/>
      <c r="SXC42" s="224"/>
      <c r="SXD42" s="223"/>
      <c r="SXE42" s="223"/>
      <c r="SXF42" s="223"/>
      <c r="SXG42" s="223"/>
      <c r="SXH42" s="225"/>
      <c r="SXI42" s="220"/>
      <c r="SXJ42" s="221"/>
      <c r="SXK42" s="222"/>
      <c r="SXL42" s="222"/>
      <c r="SXM42" s="223"/>
      <c r="SXN42" s="223"/>
      <c r="SXO42" s="224"/>
      <c r="SXP42" s="223"/>
      <c r="SXQ42" s="223"/>
      <c r="SXR42" s="223"/>
      <c r="SXS42" s="223"/>
      <c r="SXT42" s="225"/>
      <c r="SXU42" s="220"/>
      <c r="SXV42" s="221"/>
      <c r="SXW42" s="222"/>
      <c r="SXX42" s="222"/>
      <c r="SXY42" s="223"/>
      <c r="SXZ42" s="223"/>
      <c r="SYA42" s="224"/>
      <c r="SYB42" s="223"/>
      <c r="SYC42" s="223"/>
      <c r="SYD42" s="223"/>
      <c r="SYE42" s="223"/>
      <c r="SYF42" s="225"/>
      <c r="SYG42" s="220"/>
      <c r="SYH42" s="221"/>
      <c r="SYI42" s="222"/>
      <c r="SYJ42" s="222"/>
      <c r="SYK42" s="223"/>
      <c r="SYL42" s="223"/>
      <c r="SYM42" s="224"/>
      <c r="SYN42" s="223"/>
      <c r="SYO42" s="223"/>
      <c r="SYP42" s="223"/>
      <c r="SYQ42" s="223"/>
      <c r="SYR42" s="225"/>
      <c r="SYS42" s="220"/>
      <c r="SYT42" s="221"/>
      <c r="SYU42" s="222"/>
      <c r="SYV42" s="222"/>
      <c r="SYW42" s="223"/>
      <c r="SYX42" s="223"/>
      <c r="SYY42" s="224"/>
      <c r="SYZ42" s="223"/>
      <c r="SZA42" s="223"/>
      <c r="SZB42" s="223"/>
      <c r="SZC42" s="223"/>
      <c r="SZD42" s="225"/>
      <c r="SZE42" s="220"/>
      <c r="SZF42" s="221"/>
      <c r="SZG42" s="222"/>
      <c r="SZH42" s="222"/>
      <c r="SZI42" s="223"/>
      <c r="SZJ42" s="223"/>
      <c r="SZK42" s="224"/>
      <c r="SZL42" s="223"/>
      <c r="SZM42" s="223"/>
      <c r="SZN42" s="223"/>
      <c r="SZO42" s="223"/>
      <c r="SZP42" s="225"/>
      <c r="SZQ42" s="220"/>
      <c r="SZR42" s="221"/>
      <c r="SZS42" s="222"/>
      <c r="SZT42" s="222"/>
      <c r="SZU42" s="223"/>
      <c r="SZV42" s="223"/>
      <c r="SZW42" s="224"/>
      <c r="SZX42" s="223"/>
      <c r="SZY42" s="223"/>
      <c r="SZZ42" s="223"/>
      <c r="TAA42" s="223"/>
      <c r="TAB42" s="225"/>
      <c r="TAC42" s="220"/>
      <c r="TAD42" s="221"/>
      <c r="TAE42" s="222"/>
      <c r="TAF42" s="222"/>
      <c r="TAG42" s="223"/>
      <c r="TAH42" s="223"/>
      <c r="TAI42" s="224"/>
      <c r="TAJ42" s="223"/>
      <c r="TAK42" s="223"/>
      <c r="TAL42" s="223"/>
      <c r="TAM42" s="223"/>
      <c r="TAN42" s="225"/>
      <c r="TAO42" s="220"/>
      <c r="TAP42" s="221"/>
      <c r="TAQ42" s="222"/>
      <c r="TAR42" s="222"/>
      <c r="TAS42" s="223"/>
      <c r="TAT42" s="223"/>
      <c r="TAU42" s="224"/>
      <c r="TAV42" s="223"/>
      <c r="TAW42" s="223"/>
      <c r="TAX42" s="223"/>
      <c r="TAY42" s="223"/>
      <c r="TAZ42" s="225"/>
      <c r="TBA42" s="220"/>
      <c r="TBB42" s="221"/>
      <c r="TBC42" s="222"/>
      <c r="TBD42" s="222"/>
      <c r="TBE42" s="223"/>
      <c r="TBF42" s="223"/>
      <c r="TBG42" s="224"/>
      <c r="TBH42" s="223"/>
      <c r="TBI42" s="223"/>
      <c r="TBJ42" s="223"/>
      <c r="TBK42" s="223"/>
      <c r="TBL42" s="225"/>
      <c r="TBM42" s="220"/>
      <c r="TBN42" s="221"/>
      <c r="TBO42" s="222"/>
      <c r="TBP42" s="222"/>
      <c r="TBQ42" s="223"/>
      <c r="TBR42" s="223"/>
      <c r="TBS42" s="224"/>
      <c r="TBT42" s="223"/>
      <c r="TBU42" s="223"/>
      <c r="TBV42" s="223"/>
      <c r="TBW42" s="223"/>
      <c r="TBX42" s="225"/>
      <c r="TBY42" s="220"/>
      <c r="TBZ42" s="221"/>
      <c r="TCA42" s="222"/>
      <c r="TCB42" s="222"/>
      <c r="TCC42" s="223"/>
      <c r="TCD42" s="223"/>
      <c r="TCE42" s="224"/>
      <c r="TCF42" s="223"/>
      <c r="TCG42" s="223"/>
      <c r="TCH42" s="223"/>
      <c r="TCI42" s="223"/>
      <c r="TCJ42" s="225"/>
      <c r="TCK42" s="220"/>
      <c r="TCL42" s="221"/>
      <c r="TCM42" s="222"/>
      <c r="TCN42" s="222"/>
      <c r="TCO42" s="223"/>
      <c r="TCP42" s="223"/>
      <c r="TCQ42" s="224"/>
      <c r="TCR42" s="223"/>
      <c r="TCS42" s="223"/>
      <c r="TCT42" s="223"/>
      <c r="TCU42" s="223"/>
      <c r="TCV42" s="225"/>
      <c r="TCW42" s="220"/>
      <c r="TCX42" s="221"/>
      <c r="TCY42" s="222"/>
      <c r="TCZ42" s="222"/>
      <c r="TDA42" s="223"/>
      <c r="TDB42" s="223"/>
      <c r="TDC42" s="224"/>
      <c r="TDD42" s="223"/>
      <c r="TDE42" s="223"/>
      <c r="TDF42" s="223"/>
      <c r="TDG42" s="223"/>
      <c r="TDH42" s="225"/>
      <c r="TDI42" s="220"/>
      <c r="TDJ42" s="221"/>
      <c r="TDK42" s="222"/>
      <c r="TDL42" s="222"/>
      <c r="TDM42" s="223"/>
      <c r="TDN42" s="223"/>
      <c r="TDO42" s="224"/>
      <c r="TDP42" s="223"/>
      <c r="TDQ42" s="223"/>
      <c r="TDR42" s="223"/>
      <c r="TDS42" s="223"/>
      <c r="TDT42" s="225"/>
      <c r="TDU42" s="220"/>
      <c r="TDV42" s="221"/>
      <c r="TDW42" s="222"/>
      <c r="TDX42" s="222"/>
      <c r="TDY42" s="223"/>
      <c r="TDZ42" s="223"/>
      <c r="TEA42" s="224"/>
      <c r="TEB42" s="223"/>
      <c r="TEC42" s="223"/>
      <c r="TED42" s="223"/>
      <c r="TEE42" s="223"/>
      <c r="TEF42" s="225"/>
      <c r="TEG42" s="220"/>
      <c r="TEH42" s="221"/>
      <c r="TEI42" s="222"/>
      <c r="TEJ42" s="222"/>
      <c r="TEK42" s="223"/>
      <c r="TEL42" s="223"/>
      <c r="TEM42" s="224"/>
      <c r="TEN42" s="223"/>
      <c r="TEO42" s="223"/>
      <c r="TEP42" s="223"/>
      <c r="TEQ42" s="223"/>
      <c r="TER42" s="225"/>
      <c r="TES42" s="220"/>
      <c r="TET42" s="221"/>
      <c r="TEU42" s="222"/>
      <c r="TEV42" s="222"/>
      <c r="TEW42" s="223"/>
      <c r="TEX42" s="223"/>
      <c r="TEY42" s="224"/>
      <c r="TEZ42" s="223"/>
      <c r="TFA42" s="223"/>
      <c r="TFB42" s="223"/>
      <c r="TFC42" s="223"/>
      <c r="TFD42" s="225"/>
      <c r="TFE42" s="220"/>
      <c r="TFF42" s="221"/>
      <c r="TFG42" s="222"/>
      <c r="TFH42" s="222"/>
      <c r="TFI42" s="223"/>
      <c r="TFJ42" s="223"/>
      <c r="TFK42" s="224"/>
      <c r="TFL42" s="223"/>
      <c r="TFM42" s="223"/>
      <c r="TFN42" s="223"/>
      <c r="TFO42" s="223"/>
      <c r="TFP42" s="225"/>
      <c r="TFQ42" s="220"/>
      <c r="TFR42" s="221"/>
      <c r="TFS42" s="222"/>
      <c r="TFT42" s="222"/>
      <c r="TFU42" s="223"/>
      <c r="TFV42" s="223"/>
      <c r="TFW42" s="224"/>
      <c r="TFX42" s="223"/>
      <c r="TFY42" s="223"/>
      <c r="TFZ42" s="223"/>
      <c r="TGA42" s="223"/>
      <c r="TGB42" s="225"/>
      <c r="TGC42" s="220"/>
      <c r="TGD42" s="221"/>
      <c r="TGE42" s="222"/>
      <c r="TGF42" s="222"/>
      <c r="TGG42" s="223"/>
      <c r="TGH42" s="223"/>
      <c r="TGI42" s="224"/>
      <c r="TGJ42" s="223"/>
      <c r="TGK42" s="223"/>
      <c r="TGL42" s="223"/>
      <c r="TGM42" s="223"/>
      <c r="TGN42" s="225"/>
      <c r="TGO42" s="220"/>
      <c r="TGP42" s="221"/>
      <c r="TGQ42" s="222"/>
      <c r="TGR42" s="222"/>
      <c r="TGS42" s="223"/>
      <c r="TGT42" s="223"/>
      <c r="TGU42" s="224"/>
      <c r="TGV42" s="223"/>
      <c r="TGW42" s="223"/>
      <c r="TGX42" s="223"/>
      <c r="TGY42" s="223"/>
      <c r="TGZ42" s="225"/>
      <c r="THA42" s="220"/>
      <c r="THB42" s="221"/>
      <c r="THC42" s="222"/>
      <c r="THD42" s="222"/>
      <c r="THE42" s="223"/>
      <c r="THF42" s="223"/>
      <c r="THG42" s="224"/>
      <c r="THH42" s="223"/>
      <c r="THI42" s="223"/>
      <c r="THJ42" s="223"/>
      <c r="THK42" s="223"/>
      <c r="THL42" s="225"/>
      <c r="THM42" s="220"/>
      <c r="THN42" s="221"/>
      <c r="THO42" s="222"/>
      <c r="THP42" s="222"/>
      <c r="THQ42" s="223"/>
      <c r="THR42" s="223"/>
      <c r="THS42" s="224"/>
      <c r="THT42" s="223"/>
      <c r="THU42" s="223"/>
      <c r="THV42" s="223"/>
      <c r="THW42" s="223"/>
      <c r="THX42" s="225"/>
      <c r="THY42" s="220"/>
      <c r="THZ42" s="221"/>
      <c r="TIA42" s="222"/>
      <c r="TIB42" s="222"/>
      <c r="TIC42" s="223"/>
      <c r="TID42" s="223"/>
      <c r="TIE42" s="224"/>
      <c r="TIF42" s="223"/>
      <c r="TIG42" s="223"/>
      <c r="TIH42" s="223"/>
      <c r="TII42" s="223"/>
      <c r="TIJ42" s="225"/>
      <c r="TIK42" s="220"/>
      <c r="TIL42" s="221"/>
      <c r="TIM42" s="222"/>
      <c r="TIN42" s="222"/>
      <c r="TIO42" s="223"/>
      <c r="TIP42" s="223"/>
      <c r="TIQ42" s="224"/>
      <c r="TIR42" s="223"/>
      <c r="TIS42" s="223"/>
      <c r="TIT42" s="223"/>
      <c r="TIU42" s="223"/>
      <c r="TIV42" s="225"/>
      <c r="TIW42" s="220"/>
      <c r="TIX42" s="221"/>
      <c r="TIY42" s="222"/>
      <c r="TIZ42" s="222"/>
      <c r="TJA42" s="223"/>
      <c r="TJB42" s="223"/>
      <c r="TJC42" s="224"/>
      <c r="TJD42" s="223"/>
      <c r="TJE42" s="223"/>
      <c r="TJF42" s="223"/>
      <c r="TJG42" s="223"/>
      <c r="TJH42" s="225"/>
      <c r="TJI42" s="220"/>
      <c r="TJJ42" s="221"/>
      <c r="TJK42" s="222"/>
      <c r="TJL42" s="222"/>
      <c r="TJM42" s="223"/>
      <c r="TJN42" s="223"/>
      <c r="TJO42" s="224"/>
      <c r="TJP42" s="223"/>
      <c r="TJQ42" s="223"/>
      <c r="TJR42" s="223"/>
      <c r="TJS42" s="223"/>
      <c r="TJT42" s="225"/>
      <c r="TJU42" s="220"/>
      <c r="TJV42" s="221"/>
      <c r="TJW42" s="222"/>
      <c r="TJX42" s="222"/>
      <c r="TJY42" s="223"/>
      <c r="TJZ42" s="223"/>
      <c r="TKA42" s="224"/>
      <c r="TKB42" s="223"/>
      <c r="TKC42" s="223"/>
      <c r="TKD42" s="223"/>
      <c r="TKE42" s="223"/>
      <c r="TKF42" s="225"/>
      <c r="TKG42" s="220"/>
      <c r="TKH42" s="221"/>
      <c r="TKI42" s="222"/>
      <c r="TKJ42" s="222"/>
      <c r="TKK42" s="223"/>
      <c r="TKL42" s="223"/>
      <c r="TKM42" s="224"/>
      <c r="TKN42" s="223"/>
      <c r="TKO42" s="223"/>
      <c r="TKP42" s="223"/>
      <c r="TKQ42" s="223"/>
      <c r="TKR42" s="225"/>
      <c r="TKS42" s="220"/>
      <c r="TKT42" s="221"/>
      <c r="TKU42" s="222"/>
      <c r="TKV42" s="222"/>
      <c r="TKW42" s="223"/>
      <c r="TKX42" s="223"/>
      <c r="TKY42" s="224"/>
      <c r="TKZ42" s="223"/>
      <c r="TLA42" s="223"/>
      <c r="TLB42" s="223"/>
      <c r="TLC42" s="223"/>
      <c r="TLD42" s="225"/>
      <c r="TLE42" s="220"/>
      <c r="TLF42" s="221"/>
      <c r="TLG42" s="222"/>
      <c r="TLH42" s="222"/>
      <c r="TLI42" s="223"/>
      <c r="TLJ42" s="223"/>
      <c r="TLK42" s="224"/>
      <c r="TLL42" s="223"/>
      <c r="TLM42" s="223"/>
      <c r="TLN42" s="223"/>
      <c r="TLO42" s="223"/>
      <c r="TLP42" s="225"/>
      <c r="TLQ42" s="220"/>
      <c r="TLR42" s="221"/>
      <c r="TLS42" s="222"/>
      <c r="TLT42" s="222"/>
      <c r="TLU42" s="223"/>
      <c r="TLV42" s="223"/>
      <c r="TLW42" s="224"/>
      <c r="TLX42" s="223"/>
      <c r="TLY42" s="223"/>
      <c r="TLZ42" s="223"/>
      <c r="TMA42" s="223"/>
      <c r="TMB42" s="225"/>
      <c r="TMC42" s="220"/>
      <c r="TMD42" s="221"/>
      <c r="TME42" s="222"/>
      <c r="TMF42" s="222"/>
      <c r="TMG42" s="223"/>
      <c r="TMH42" s="223"/>
      <c r="TMI42" s="224"/>
      <c r="TMJ42" s="223"/>
      <c r="TMK42" s="223"/>
      <c r="TML42" s="223"/>
      <c r="TMM42" s="223"/>
      <c r="TMN42" s="225"/>
      <c r="TMO42" s="220"/>
      <c r="TMP42" s="221"/>
      <c r="TMQ42" s="222"/>
      <c r="TMR42" s="222"/>
      <c r="TMS42" s="223"/>
      <c r="TMT42" s="223"/>
      <c r="TMU42" s="224"/>
      <c r="TMV42" s="223"/>
      <c r="TMW42" s="223"/>
      <c r="TMX42" s="223"/>
      <c r="TMY42" s="223"/>
      <c r="TMZ42" s="225"/>
      <c r="TNA42" s="220"/>
      <c r="TNB42" s="221"/>
      <c r="TNC42" s="222"/>
      <c r="TND42" s="222"/>
      <c r="TNE42" s="223"/>
      <c r="TNF42" s="223"/>
      <c r="TNG42" s="224"/>
      <c r="TNH42" s="223"/>
      <c r="TNI42" s="223"/>
      <c r="TNJ42" s="223"/>
      <c r="TNK42" s="223"/>
      <c r="TNL42" s="225"/>
      <c r="TNM42" s="220"/>
      <c r="TNN42" s="221"/>
      <c r="TNO42" s="222"/>
      <c r="TNP42" s="222"/>
      <c r="TNQ42" s="223"/>
      <c r="TNR42" s="223"/>
      <c r="TNS42" s="224"/>
      <c r="TNT42" s="223"/>
      <c r="TNU42" s="223"/>
      <c r="TNV42" s="223"/>
      <c r="TNW42" s="223"/>
      <c r="TNX42" s="225"/>
      <c r="TNY42" s="220"/>
      <c r="TNZ42" s="221"/>
      <c r="TOA42" s="222"/>
      <c r="TOB42" s="222"/>
      <c r="TOC42" s="223"/>
      <c r="TOD42" s="223"/>
      <c r="TOE42" s="224"/>
      <c r="TOF42" s="223"/>
      <c r="TOG42" s="223"/>
      <c r="TOH42" s="223"/>
      <c r="TOI42" s="223"/>
      <c r="TOJ42" s="225"/>
      <c r="TOK42" s="220"/>
      <c r="TOL42" s="221"/>
      <c r="TOM42" s="222"/>
      <c r="TON42" s="222"/>
      <c r="TOO42" s="223"/>
      <c r="TOP42" s="223"/>
      <c r="TOQ42" s="224"/>
      <c r="TOR42" s="223"/>
      <c r="TOS42" s="223"/>
      <c r="TOT42" s="223"/>
      <c r="TOU42" s="223"/>
      <c r="TOV42" s="225"/>
      <c r="TOW42" s="220"/>
      <c r="TOX42" s="221"/>
      <c r="TOY42" s="222"/>
      <c r="TOZ42" s="222"/>
      <c r="TPA42" s="223"/>
      <c r="TPB42" s="223"/>
      <c r="TPC42" s="224"/>
      <c r="TPD42" s="223"/>
      <c r="TPE42" s="223"/>
      <c r="TPF42" s="223"/>
      <c r="TPG42" s="223"/>
      <c r="TPH42" s="225"/>
      <c r="TPI42" s="220"/>
      <c r="TPJ42" s="221"/>
      <c r="TPK42" s="222"/>
      <c r="TPL42" s="222"/>
      <c r="TPM42" s="223"/>
      <c r="TPN42" s="223"/>
      <c r="TPO42" s="224"/>
      <c r="TPP42" s="223"/>
      <c r="TPQ42" s="223"/>
      <c r="TPR42" s="223"/>
      <c r="TPS42" s="223"/>
      <c r="TPT42" s="225"/>
      <c r="TPU42" s="220"/>
      <c r="TPV42" s="221"/>
      <c r="TPW42" s="222"/>
      <c r="TPX42" s="222"/>
      <c r="TPY42" s="223"/>
      <c r="TPZ42" s="223"/>
      <c r="TQA42" s="224"/>
      <c r="TQB42" s="223"/>
      <c r="TQC42" s="223"/>
      <c r="TQD42" s="223"/>
      <c r="TQE42" s="223"/>
      <c r="TQF42" s="225"/>
      <c r="TQG42" s="220"/>
      <c r="TQH42" s="221"/>
      <c r="TQI42" s="222"/>
      <c r="TQJ42" s="222"/>
      <c r="TQK42" s="223"/>
      <c r="TQL42" s="223"/>
      <c r="TQM42" s="224"/>
      <c r="TQN42" s="223"/>
      <c r="TQO42" s="223"/>
      <c r="TQP42" s="223"/>
      <c r="TQQ42" s="223"/>
      <c r="TQR42" s="225"/>
      <c r="TQS42" s="220"/>
      <c r="TQT42" s="221"/>
      <c r="TQU42" s="222"/>
      <c r="TQV42" s="222"/>
      <c r="TQW42" s="223"/>
      <c r="TQX42" s="223"/>
      <c r="TQY42" s="224"/>
      <c r="TQZ42" s="223"/>
      <c r="TRA42" s="223"/>
      <c r="TRB42" s="223"/>
      <c r="TRC42" s="223"/>
      <c r="TRD42" s="225"/>
      <c r="TRE42" s="220"/>
      <c r="TRF42" s="221"/>
      <c r="TRG42" s="222"/>
      <c r="TRH42" s="222"/>
      <c r="TRI42" s="223"/>
      <c r="TRJ42" s="223"/>
      <c r="TRK42" s="224"/>
      <c r="TRL42" s="223"/>
      <c r="TRM42" s="223"/>
      <c r="TRN42" s="223"/>
      <c r="TRO42" s="223"/>
      <c r="TRP42" s="225"/>
      <c r="TRQ42" s="220"/>
      <c r="TRR42" s="221"/>
      <c r="TRS42" s="222"/>
      <c r="TRT42" s="222"/>
      <c r="TRU42" s="223"/>
      <c r="TRV42" s="223"/>
      <c r="TRW42" s="224"/>
      <c r="TRX42" s="223"/>
      <c r="TRY42" s="223"/>
      <c r="TRZ42" s="223"/>
      <c r="TSA42" s="223"/>
      <c r="TSB42" s="225"/>
      <c r="TSC42" s="220"/>
      <c r="TSD42" s="221"/>
      <c r="TSE42" s="222"/>
      <c r="TSF42" s="222"/>
      <c r="TSG42" s="223"/>
      <c r="TSH42" s="223"/>
      <c r="TSI42" s="224"/>
      <c r="TSJ42" s="223"/>
      <c r="TSK42" s="223"/>
      <c r="TSL42" s="223"/>
      <c r="TSM42" s="223"/>
      <c r="TSN42" s="225"/>
      <c r="TSO42" s="220"/>
      <c r="TSP42" s="221"/>
      <c r="TSQ42" s="222"/>
      <c r="TSR42" s="222"/>
      <c r="TSS42" s="223"/>
      <c r="TST42" s="223"/>
      <c r="TSU42" s="224"/>
      <c r="TSV42" s="223"/>
      <c r="TSW42" s="223"/>
      <c r="TSX42" s="223"/>
      <c r="TSY42" s="223"/>
      <c r="TSZ42" s="225"/>
      <c r="TTA42" s="220"/>
      <c r="TTB42" s="221"/>
      <c r="TTC42" s="222"/>
      <c r="TTD42" s="222"/>
      <c r="TTE42" s="223"/>
      <c r="TTF42" s="223"/>
      <c r="TTG42" s="224"/>
      <c r="TTH42" s="223"/>
      <c r="TTI42" s="223"/>
      <c r="TTJ42" s="223"/>
      <c r="TTK42" s="223"/>
      <c r="TTL42" s="225"/>
      <c r="TTM42" s="220"/>
      <c r="TTN42" s="221"/>
      <c r="TTO42" s="222"/>
      <c r="TTP42" s="222"/>
      <c r="TTQ42" s="223"/>
      <c r="TTR42" s="223"/>
      <c r="TTS42" s="224"/>
      <c r="TTT42" s="223"/>
      <c r="TTU42" s="223"/>
      <c r="TTV42" s="223"/>
      <c r="TTW42" s="223"/>
      <c r="TTX42" s="225"/>
      <c r="TTY42" s="220"/>
      <c r="TTZ42" s="221"/>
      <c r="TUA42" s="222"/>
      <c r="TUB42" s="222"/>
      <c r="TUC42" s="223"/>
      <c r="TUD42" s="223"/>
      <c r="TUE42" s="224"/>
      <c r="TUF42" s="223"/>
      <c r="TUG42" s="223"/>
      <c r="TUH42" s="223"/>
      <c r="TUI42" s="223"/>
      <c r="TUJ42" s="225"/>
      <c r="TUK42" s="220"/>
      <c r="TUL42" s="221"/>
      <c r="TUM42" s="222"/>
      <c r="TUN42" s="222"/>
      <c r="TUO42" s="223"/>
      <c r="TUP42" s="223"/>
      <c r="TUQ42" s="224"/>
      <c r="TUR42" s="223"/>
      <c r="TUS42" s="223"/>
      <c r="TUT42" s="223"/>
      <c r="TUU42" s="223"/>
      <c r="TUV42" s="225"/>
      <c r="TUW42" s="220"/>
      <c r="TUX42" s="221"/>
      <c r="TUY42" s="222"/>
      <c r="TUZ42" s="222"/>
      <c r="TVA42" s="223"/>
      <c r="TVB42" s="223"/>
      <c r="TVC42" s="224"/>
      <c r="TVD42" s="223"/>
      <c r="TVE42" s="223"/>
      <c r="TVF42" s="223"/>
      <c r="TVG42" s="223"/>
      <c r="TVH42" s="225"/>
      <c r="TVI42" s="220"/>
      <c r="TVJ42" s="221"/>
      <c r="TVK42" s="222"/>
      <c r="TVL42" s="222"/>
      <c r="TVM42" s="223"/>
      <c r="TVN42" s="223"/>
      <c r="TVO42" s="224"/>
      <c r="TVP42" s="223"/>
      <c r="TVQ42" s="223"/>
      <c r="TVR42" s="223"/>
      <c r="TVS42" s="223"/>
      <c r="TVT42" s="225"/>
      <c r="TVU42" s="220"/>
      <c r="TVV42" s="221"/>
      <c r="TVW42" s="222"/>
      <c r="TVX42" s="222"/>
      <c r="TVY42" s="223"/>
      <c r="TVZ42" s="223"/>
      <c r="TWA42" s="224"/>
      <c r="TWB42" s="223"/>
      <c r="TWC42" s="223"/>
      <c r="TWD42" s="223"/>
      <c r="TWE42" s="223"/>
      <c r="TWF42" s="225"/>
      <c r="TWG42" s="220"/>
      <c r="TWH42" s="221"/>
      <c r="TWI42" s="222"/>
      <c r="TWJ42" s="222"/>
      <c r="TWK42" s="223"/>
      <c r="TWL42" s="223"/>
      <c r="TWM42" s="224"/>
      <c r="TWN42" s="223"/>
      <c r="TWO42" s="223"/>
      <c r="TWP42" s="223"/>
      <c r="TWQ42" s="223"/>
      <c r="TWR42" s="225"/>
      <c r="TWS42" s="220"/>
      <c r="TWT42" s="221"/>
      <c r="TWU42" s="222"/>
      <c r="TWV42" s="222"/>
      <c r="TWW42" s="223"/>
      <c r="TWX42" s="223"/>
      <c r="TWY42" s="224"/>
      <c r="TWZ42" s="223"/>
      <c r="TXA42" s="223"/>
      <c r="TXB42" s="223"/>
      <c r="TXC42" s="223"/>
      <c r="TXD42" s="225"/>
      <c r="TXE42" s="220"/>
      <c r="TXF42" s="221"/>
      <c r="TXG42" s="222"/>
      <c r="TXH42" s="222"/>
      <c r="TXI42" s="223"/>
      <c r="TXJ42" s="223"/>
      <c r="TXK42" s="224"/>
      <c r="TXL42" s="223"/>
      <c r="TXM42" s="223"/>
      <c r="TXN42" s="223"/>
      <c r="TXO42" s="223"/>
      <c r="TXP42" s="225"/>
      <c r="TXQ42" s="220"/>
      <c r="TXR42" s="221"/>
      <c r="TXS42" s="222"/>
      <c r="TXT42" s="222"/>
      <c r="TXU42" s="223"/>
      <c r="TXV42" s="223"/>
      <c r="TXW42" s="224"/>
      <c r="TXX42" s="223"/>
      <c r="TXY42" s="223"/>
      <c r="TXZ42" s="223"/>
      <c r="TYA42" s="223"/>
      <c r="TYB42" s="225"/>
      <c r="TYC42" s="220"/>
      <c r="TYD42" s="221"/>
      <c r="TYE42" s="222"/>
      <c r="TYF42" s="222"/>
      <c r="TYG42" s="223"/>
      <c r="TYH42" s="223"/>
      <c r="TYI42" s="224"/>
      <c r="TYJ42" s="223"/>
      <c r="TYK42" s="223"/>
      <c r="TYL42" s="223"/>
      <c r="TYM42" s="223"/>
      <c r="TYN42" s="225"/>
      <c r="TYO42" s="220"/>
      <c r="TYP42" s="221"/>
      <c r="TYQ42" s="222"/>
      <c r="TYR42" s="222"/>
      <c r="TYS42" s="223"/>
      <c r="TYT42" s="223"/>
      <c r="TYU42" s="224"/>
      <c r="TYV42" s="223"/>
      <c r="TYW42" s="223"/>
      <c r="TYX42" s="223"/>
      <c r="TYY42" s="223"/>
      <c r="TYZ42" s="225"/>
      <c r="TZA42" s="220"/>
      <c r="TZB42" s="221"/>
      <c r="TZC42" s="222"/>
      <c r="TZD42" s="222"/>
      <c r="TZE42" s="223"/>
      <c r="TZF42" s="223"/>
      <c r="TZG42" s="224"/>
      <c r="TZH42" s="223"/>
      <c r="TZI42" s="223"/>
      <c r="TZJ42" s="223"/>
      <c r="TZK42" s="223"/>
      <c r="TZL42" s="225"/>
      <c r="TZM42" s="220"/>
      <c r="TZN42" s="221"/>
      <c r="TZO42" s="222"/>
      <c r="TZP42" s="222"/>
      <c r="TZQ42" s="223"/>
      <c r="TZR42" s="223"/>
      <c r="TZS42" s="224"/>
      <c r="TZT42" s="223"/>
      <c r="TZU42" s="223"/>
      <c r="TZV42" s="223"/>
      <c r="TZW42" s="223"/>
      <c r="TZX42" s="225"/>
      <c r="TZY42" s="220"/>
      <c r="TZZ42" s="221"/>
      <c r="UAA42" s="222"/>
      <c r="UAB42" s="222"/>
      <c r="UAC42" s="223"/>
      <c r="UAD42" s="223"/>
      <c r="UAE42" s="224"/>
      <c r="UAF42" s="223"/>
      <c r="UAG42" s="223"/>
      <c r="UAH42" s="223"/>
      <c r="UAI42" s="223"/>
      <c r="UAJ42" s="225"/>
      <c r="UAK42" s="220"/>
      <c r="UAL42" s="221"/>
      <c r="UAM42" s="222"/>
      <c r="UAN42" s="222"/>
      <c r="UAO42" s="223"/>
      <c r="UAP42" s="223"/>
      <c r="UAQ42" s="224"/>
      <c r="UAR42" s="223"/>
      <c r="UAS42" s="223"/>
      <c r="UAT42" s="223"/>
      <c r="UAU42" s="223"/>
      <c r="UAV42" s="225"/>
      <c r="UAW42" s="220"/>
      <c r="UAX42" s="221"/>
      <c r="UAY42" s="222"/>
      <c r="UAZ42" s="222"/>
      <c r="UBA42" s="223"/>
      <c r="UBB42" s="223"/>
      <c r="UBC42" s="224"/>
      <c r="UBD42" s="223"/>
      <c r="UBE42" s="223"/>
      <c r="UBF42" s="223"/>
      <c r="UBG42" s="223"/>
      <c r="UBH42" s="225"/>
      <c r="UBI42" s="220"/>
      <c r="UBJ42" s="221"/>
      <c r="UBK42" s="222"/>
      <c r="UBL42" s="222"/>
      <c r="UBM42" s="223"/>
      <c r="UBN42" s="223"/>
      <c r="UBO42" s="224"/>
      <c r="UBP42" s="223"/>
      <c r="UBQ42" s="223"/>
      <c r="UBR42" s="223"/>
      <c r="UBS42" s="223"/>
      <c r="UBT42" s="225"/>
      <c r="UBU42" s="220"/>
      <c r="UBV42" s="221"/>
      <c r="UBW42" s="222"/>
      <c r="UBX42" s="222"/>
      <c r="UBY42" s="223"/>
      <c r="UBZ42" s="223"/>
      <c r="UCA42" s="224"/>
      <c r="UCB42" s="223"/>
      <c r="UCC42" s="223"/>
      <c r="UCD42" s="223"/>
      <c r="UCE42" s="223"/>
      <c r="UCF42" s="225"/>
      <c r="UCG42" s="220"/>
      <c r="UCH42" s="221"/>
      <c r="UCI42" s="222"/>
      <c r="UCJ42" s="222"/>
      <c r="UCK42" s="223"/>
      <c r="UCL42" s="223"/>
      <c r="UCM42" s="224"/>
      <c r="UCN42" s="223"/>
      <c r="UCO42" s="223"/>
      <c r="UCP42" s="223"/>
      <c r="UCQ42" s="223"/>
      <c r="UCR42" s="225"/>
      <c r="UCS42" s="220"/>
      <c r="UCT42" s="221"/>
      <c r="UCU42" s="222"/>
      <c r="UCV42" s="222"/>
      <c r="UCW42" s="223"/>
      <c r="UCX42" s="223"/>
      <c r="UCY42" s="224"/>
      <c r="UCZ42" s="223"/>
      <c r="UDA42" s="223"/>
      <c r="UDB42" s="223"/>
      <c r="UDC42" s="223"/>
      <c r="UDD42" s="225"/>
      <c r="UDE42" s="220"/>
      <c r="UDF42" s="221"/>
      <c r="UDG42" s="222"/>
      <c r="UDH42" s="222"/>
      <c r="UDI42" s="223"/>
      <c r="UDJ42" s="223"/>
      <c r="UDK42" s="224"/>
      <c r="UDL42" s="223"/>
      <c r="UDM42" s="223"/>
      <c r="UDN42" s="223"/>
      <c r="UDO42" s="223"/>
      <c r="UDP42" s="225"/>
      <c r="UDQ42" s="220"/>
      <c r="UDR42" s="221"/>
      <c r="UDS42" s="222"/>
      <c r="UDT42" s="222"/>
      <c r="UDU42" s="223"/>
      <c r="UDV42" s="223"/>
      <c r="UDW42" s="224"/>
      <c r="UDX42" s="223"/>
      <c r="UDY42" s="223"/>
      <c r="UDZ42" s="223"/>
      <c r="UEA42" s="223"/>
      <c r="UEB42" s="225"/>
      <c r="UEC42" s="220"/>
      <c r="UED42" s="221"/>
      <c r="UEE42" s="222"/>
      <c r="UEF42" s="222"/>
      <c r="UEG42" s="223"/>
      <c r="UEH42" s="223"/>
      <c r="UEI42" s="224"/>
      <c r="UEJ42" s="223"/>
      <c r="UEK42" s="223"/>
      <c r="UEL42" s="223"/>
      <c r="UEM42" s="223"/>
      <c r="UEN42" s="225"/>
      <c r="UEO42" s="220"/>
      <c r="UEP42" s="221"/>
      <c r="UEQ42" s="222"/>
      <c r="UER42" s="222"/>
      <c r="UES42" s="223"/>
      <c r="UET42" s="223"/>
      <c r="UEU42" s="224"/>
      <c r="UEV42" s="223"/>
      <c r="UEW42" s="223"/>
      <c r="UEX42" s="223"/>
      <c r="UEY42" s="223"/>
      <c r="UEZ42" s="225"/>
      <c r="UFA42" s="220"/>
      <c r="UFB42" s="221"/>
      <c r="UFC42" s="222"/>
      <c r="UFD42" s="222"/>
      <c r="UFE42" s="223"/>
      <c r="UFF42" s="223"/>
      <c r="UFG42" s="224"/>
      <c r="UFH42" s="223"/>
      <c r="UFI42" s="223"/>
      <c r="UFJ42" s="223"/>
      <c r="UFK42" s="223"/>
      <c r="UFL42" s="225"/>
      <c r="UFM42" s="220"/>
      <c r="UFN42" s="221"/>
      <c r="UFO42" s="222"/>
      <c r="UFP42" s="222"/>
      <c r="UFQ42" s="223"/>
      <c r="UFR42" s="223"/>
      <c r="UFS42" s="224"/>
      <c r="UFT42" s="223"/>
      <c r="UFU42" s="223"/>
      <c r="UFV42" s="223"/>
      <c r="UFW42" s="223"/>
      <c r="UFX42" s="225"/>
      <c r="UFY42" s="220"/>
      <c r="UFZ42" s="221"/>
      <c r="UGA42" s="222"/>
      <c r="UGB42" s="222"/>
      <c r="UGC42" s="223"/>
      <c r="UGD42" s="223"/>
      <c r="UGE42" s="224"/>
      <c r="UGF42" s="223"/>
      <c r="UGG42" s="223"/>
      <c r="UGH42" s="223"/>
      <c r="UGI42" s="223"/>
      <c r="UGJ42" s="225"/>
      <c r="UGK42" s="220"/>
      <c r="UGL42" s="221"/>
      <c r="UGM42" s="222"/>
      <c r="UGN42" s="222"/>
      <c r="UGO42" s="223"/>
      <c r="UGP42" s="223"/>
      <c r="UGQ42" s="224"/>
      <c r="UGR42" s="223"/>
      <c r="UGS42" s="223"/>
      <c r="UGT42" s="223"/>
      <c r="UGU42" s="223"/>
      <c r="UGV42" s="225"/>
      <c r="UGW42" s="220"/>
      <c r="UGX42" s="221"/>
      <c r="UGY42" s="222"/>
      <c r="UGZ42" s="222"/>
      <c r="UHA42" s="223"/>
      <c r="UHB42" s="223"/>
      <c r="UHC42" s="224"/>
      <c r="UHD42" s="223"/>
      <c r="UHE42" s="223"/>
      <c r="UHF42" s="223"/>
      <c r="UHG42" s="223"/>
      <c r="UHH42" s="225"/>
      <c r="UHI42" s="220"/>
      <c r="UHJ42" s="221"/>
      <c r="UHK42" s="222"/>
      <c r="UHL42" s="222"/>
      <c r="UHM42" s="223"/>
      <c r="UHN42" s="223"/>
      <c r="UHO42" s="224"/>
      <c r="UHP42" s="223"/>
      <c r="UHQ42" s="223"/>
      <c r="UHR42" s="223"/>
      <c r="UHS42" s="223"/>
      <c r="UHT42" s="225"/>
      <c r="UHU42" s="220"/>
      <c r="UHV42" s="221"/>
      <c r="UHW42" s="222"/>
      <c r="UHX42" s="222"/>
      <c r="UHY42" s="223"/>
      <c r="UHZ42" s="223"/>
      <c r="UIA42" s="224"/>
      <c r="UIB42" s="223"/>
      <c r="UIC42" s="223"/>
      <c r="UID42" s="223"/>
      <c r="UIE42" s="223"/>
      <c r="UIF42" s="225"/>
      <c r="UIG42" s="220"/>
      <c r="UIH42" s="221"/>
      <c r="UII42" s="222"/>
      <c r="UIJ42" s="222"/>
      <c r="UIK42" s="223"/>
      <c r="UIL42" s="223"/>
      <c r="UIM42" s="224"/>
      <c r="UIN42" s="223"/>
      <c r="UIO42" s="223"/>
      <c r="UIP42" s="223"/>
      <c r="UIQ42" s="223"/>
      <c r="UIR42" s="225"/>
      <c r="UIS42" s="220"/>
      <c r="UIT42" s="221"/>
      <c r="UIU42" s="222"/>
      <c r="UIV42" s="222"/>
      <c r="UIW42" s="223"/>
      <c r="UIX42" s="223"/>
      <c r="UIY42" s="224"/>
      <c r="UIZ42" s="223"/>
      <c r="UJA42" s="223"/>
      <c r="UJB42" s="223"/>
      <c r="UJC42" s="223"/>
      <c r="UJD42" s="225"/>
      <c r="UJE42" s="220"/>
      <c r="UJF42" s="221"/>
      <c r="UJG42" s="222"/>
      <c r="UJH42" s="222"/>
      <c r="UJI42" s="223"/>
      <c r="UJJ42" s="223"/>
      <c r="UJK42" s="224"/>
      <c r="UJL42" s="223"/>
      <c r="UJM42" s="223"/>
      <c r="UJN42" s="223"/>
      <c r="UJO42" s="223"/>
      <c r="UJP42" s="225"/>
      <c r="UJQ42" s="220"/>
      <c r="UJR42" s="221"/>
      <c r="UJS42" s="222"/>
      <c r="UJT42" s="222"/>
      <c r="UJU42" s="223"/>
      <c r="UJV42" s="223"/>
      <c r="UJW42" s="224"/>
      <c r="UJX42" s="223"/>
      <c r="UJY42" s="223"/>
      <c r="UJZ42" s="223"/>
      <c r="UKA42" s="223"/>
      <c r="UKB42" s="225"/>
      <c r="UKC42" s="220"/>
      <c r="UKD42" s="221"/>
      <c r="UKE42" s="222"/>
      <c r="UKF42" s="222"/>
      <c r="UKG42" s="223"/>
      <c r="UKH42" s="223"/>
      <c r="UKI42" s="224"/>
      <c r="UKJ42" s="223"/>
      <c r="UKK42" s="223"/>
      <c r="UKL42" s="223"/>
      <c r="UKM42" s="223"/>
      <c r="UKN42" s="225"/>
      <c r="UKO42" s="220"/>
      <c r="UKP42" s="221"/>
      <c r="UKQ42" s="222"/>
      <c r="UKR42" s="222"/>
      <c r="UKS42" s="223"/>
      <c r="UKT42" s="223"/>
      <c r="UKU42" s="224"/>
      <c r="UKV42" s="223"/>
      <c r="UKW42" s="223"/>
      <c r="UKX42" s="223"/>
      <c r="UKY42" s="223"/>
      <c r="UKZ42" s="225"/>
      <c r="ULA42" s="220"/>
      <c r="ULB42" s="221"/>
      <c r="ULC42" s="222"/>
      <c r="ULD42" s="222"/>
      <c r="ULE42" s="223"/>
      <c r="ULF42" s="223"/>
      <c r="ULG42" s="224"/>
      <c r="ULH42" s="223"/>
      <c r="ULI42" s="223"/>
      <c r="ULJ42" s="223"/>
      <c r="ULK42" s="223"/>
      <c r="ULL42" s="225"/>
      <c r="ULM42" s="220"/>
      <c r="ULN42" s="221"/>
      <c r="ULO42" s="222"/>
      <c r="ULP42" s="222"/>
      <c r="ULQ42" s="223"/>
      <c r="ULR42" s="223"/>
      <c r="ULS42" s="224"/>
      <c r="ULT42" s="223"/>
      <c r="ULU42" s="223"/>
      <c r="ULV42" s="223"/>
      <c r="ULW42" s="223"/>
      <c r="ULX42" s="225"/>
      <c r="ULY42" s="220"/>
      <c r="ULZ42" s="221"/>
      <c r="UMA42" s="222"/>
      <c r="UMB42" s="222"/>
      <c r="UMC42" s="223"/>
      <c r="UMD42" s="223"/>
      <c r="UME42" s="224"/>
      <c r="UMF42" s="223"/>
      <c r="UMG42" s="223"/>
      <c r="UMH42" s="223"/>
      <c r="UMI42" s="223"/>
      <c r="UMJ42" s="225"/>
      <c r="UMK42" s="220"/>
      <c r="UML42" s="221"/>
      <c r="UMM42" s="222"/>
      <c r="UMN42" s="222"/>
      <c r="UMO42" s="223"/>
      <c r="UMP42" s="223"/>
      <c r="UMQ42" s="224"/>
      <c r="UMR42" s="223"/>
      <c r="UMS42" s="223"/>
      <c r="UMT42" s="223"/>
      <c r="UMU42" s="223"/>
      <c r="UMV42" s="225"/>
      <c r="UMW42" s="220"/>
      <c r="UMX42" s="221"/>
      <c r="UMY42" s="222"/>
      <c r="UMZ42" s="222"/>
      <c r="UNA42" s="223"/>
      <c r="UNB42" s="223"/>
      <c r="UNC42" s="224"/>
      <c r="UND42" s="223"/>
      <c r="UNE42" s="223"/>
      <c r="UNF42" s="223"/>
      <c r="UNG42" s="223"/>
      <c r="UNH42" s="225"/>
      <c r="UNI42" s="220"/>
      <c r="UNJ42" s="221"/>
      <c r="UNK42" s="222"/>
      <c r="UNL42" s="222"/>
      <c r="UNM42" s="223"/>
      <c r="UNN42" s="223"/>
      <c r="UNO42" s="224"/>
      <c r="UNP42" s="223"/>
      <c r="UNQ42" s="223"/>
      <c r="UNR42" s="223"/>
      <c r="UNS42" s="223"/>
      <c r="UNT42" s="225"/>
      <c r="UNU42" s="220"/>
      <c r="UNV42" s="221"/>
      <c r="UNW42" s="222"/>
      <c r="UNX42" s="222"/>
      <c r="UNY42" s="223"/>
      <c r="UNZ42" s="223"/>
      <c r="UOA42" s="224"/>
      <c r="UOB42" s="223"/>
      <c r="UOC42" s="223"/>
      <c r="UOD42" s="223"/>
      <c r="UOE42" s="223"/>
      <c r="UOF42" s="225"/>
      <c r="UOG42" s="220"/>
      <c r="UOH42" s="221"/>
      <c r="UOI42" s="222"/>
      <c r="UOJ42" s="222"/>
      <c r="UOK42" s="223"/>
      <c r="UOL42" s="223"/>
      <c r="UOM42" s="224"/>
      <c r="UON42" s="223"/>
      <c r="UOO42" s="223"/>
      <c r="UOP42" s="223"/>
      <c r="UOQ42" s="223"/>
      <c r="UOR42" s="225"/>
      <c r="UOS42" s="220"/>
      <c r="UOT42" s="221"/>
      <c r="UOU42" s="222"/>
      <c r="UOV42" s="222"/>
      <c r="UOW42" s="223"/>
      <c r="UOX42" s="223"/>
      <c r="UOY42" s="224"/>
      <c r="UOZ42" s="223"/>
      <c r="UPA42" s="223"/>
      <c r="UPB42" s="223"/>
      <c r="UPC42" s="223"/>
      <c r="UPD42" s="225"/>
      <c r="UPE42" s="220"/>
      <c r="UPF42" s="221"/>
      <c r="UPG42" s="222"/>
      <c r="UPH42" s="222"/>
      <c r="UPI42" s="223"/>
      <c r="UPJ42" s="223"/>
      <c r="UPK42" s="224"/>
      <c r="UPL42" s="223"/>
      <c r="UPM42" s="223"/>
      <c r="UPN42" s="223"/>
      <c r="UPO42" s="223"/>
      <c r="UPP42" s="225"/>
      <c r="UPQ42" s="220"/>
      <c r="UPR42" s="221"/>
      <c r="UPS42" s="222"/>
      <c r="UPT42" s="222"/>
      <c r="UPU42" s="223"/>
      <c r="UPV42" s="223"/>
      <c r="UPW42" s="224"/>
      <c r="UPX42" s="223"/>
      <c r="UPY42" s="223"/>
      <c r="UPZ42" s="223"/>
      <c r="UQA42" s="223"/>
      <c r="UQB42" s="225"/>
      <c r="UQC42" s="220"/>
      <c r="UQD42" s="221"/>
      <c r="UQE42" s="222"/>
      <c r="UQF42" s="222"/>
      <c r="UQG42" s="223"/>
      <c r="UQH42" s="223"/>
      <c r="UQI42" s="224"/>
      <c r="UQJ42" s="223"/>
      <c r="UQK42" s="223"/>
      <c r="UQL42" s="223"/>
      <c r="UQM42" s="223"/>
      <c r="UQN42" s="225"/>
      <c r="UQO42" s="220"/>
      <c r="UQP42" s="221"/>
      <c r="UQQ42" s="222"/>
      <c r="UQR42" s="222"/>
      <c r="UQS42" s="223"/>
      <c r="UQT42" s="223"/>
      <c r="UQU42" s="224"/>
      <c r="UQV42" s="223"/>
      <c r="UQW42" s="223"/>
      <c r="UQX42" s="223"/>
      <c r="UQY42" s="223"/>
      <c r="UQZ42" s="225"/>
      <c r="URA42" s="220"/>
      <c r="URB42" s="221"/>
      <c r="URC42" s="222"/>
      <c r="URD42" s="222"/>
      <c r="URE42" s="223"/>
      <c r="URF42" s="223"/>
      <c r="URG42" s="224"/>
      <c r="URH42" s="223"/>
      <c r="URI42" s="223"/>
      <c r="URJ42" s="223"/>
      <c r="URK42" s="223"/>
      <c r="URL42" s="225"/>
      <c r="URM42" s="220"/>
      <c r="URN42" s="221"/>
      <c r="URO42" s="222"/>
      <c r="URP42" s="222"/>
      <c r="URQ42" s="223"/>
      <c r="URR42" s="223"/>
      <c r="URS42" s="224"/>
      <c r="URT42" s="223"/>
      <c r="URU42" s="223"/>
      <c r="URV42" s="223"/>
      <c r="URW42" s="223"/>
      <c r="URX42" s="225"/>
      <c r="URY42" s="220"/>
      <c r="URZ42" s="221"/>
      <c r="USA42" s="222"/>
      <c r="USB42" s="222"/>
      <c r="USC42" s="223"/>
      <c r="USD42" s="223"/>
      <c r="USE42" s="224"/>
      <c r="USF42" s="223"/>
      <c r="USG42" s="223"/>
      <c r="USH42" s="223"/>
      <c r="USI42" s="223"/>
      <c r="USJ42" s="225"/>
      <c r="USK42" s="220"/>
      <c r="USL42" s="221"/>
      <c r="USM42" s="222"/>
      <c r="USN42" s="222"/>
      <c r="USO42" s="223"/>
      <c r="USP42" s="223"/>
      <c r="USQ42" s="224"/>
      <c r="USR42" s="223"/>
      <c r="USS42" s="223"/>
      <c r="UST42" s="223"/>
      <c r="USU42" s="223"/>
      <c r="USV42" s="225"/>
      <c r="USW42" s="220"/>
      <c r="USX42" s="221"/>
      <c r="USY42" s="222"/>
      <c r="USZ42" s="222"/>
      <c r="UTA42" s="223"/>
      <c r="UTB42" s="223"/>
      <c r="UTC42" s="224"/>
      <c r="UTD42" s="223"/>
      <c r="UTE42" s="223"/>
      <c r="UTF42" s="223"/>
      <c r="UTG42" s="223"/>
      <c r="UTH42" s="225"/>
      <c r="UTI42" s="220"/>
      <c r="UTJ42" s="221"/>
      <c r="UTK42" s="222"/>
      <c r="UTL42" s="222"/>
      <c r="UTM42" s="223"/>
      <c r="UTN42" s="223"/>
      <c r="UTO42" s="224"/>
      <c r="UTP42" s="223"/>
      <c r="UTQ42" s="223"/>
      <c r="UTR42" s="223"/>
      <c r="UTS42" s="223"/>
      <c r="UTT42" s="225"/>
      <c r="UTU42" s="220"/>
      <c r="UTV42" s="221"/>
      <c r="UTW42" s="222"/>
      <c r="UTX42" s="222"/>
      <c r="UTY42" s="223"/>
      <c r="UTZ42" s="223"/>
      <c r="UUA42" s="224"/>
      <c r="UUB42" s="223"/>
      <c r="UUC42" s="223"/>
      <c r="UUD42" s="223"/>
      <c r="UUE42" s="223"/>
      <c r="UUF42" s="225"/>
      <c r="UUG42" s="220"/>
      <c r="UUH42" s="221"/>
      <c r="UUI42" s="222"/>
      <c r="UUJ42" s="222"/>
      <c r="UUK42" s="223"/>
      <c r="UUL42" s="223"/>
      <c r="UUM42" s="224"/>
      <c r="UUN42" s="223"/>
      <c r="UUO42" s="223"/>
      <c r="UUP42" s="223"/>
      <c r="UUQ42" s="223"/>
      <c r="UUR42" s="225"/>
      <c r="UUS42" s="220"/>
      <c r="UUT42" s="221"/>
      <c r="UUU42" s="222"/>
      <c r="UUV42" s="222"/>
      <c r="UUW42" s="223"/>
      <c r="UUX42" s="223"/>
      <c r="UUY42" s="224"/>
      <c r="UUZ42" s="223"/>
      <c r="UVA42" s="223"/>
      <c r="UVB42" s="223"/>
      <c r="UVC42" s="223"/>
      <c r="UVD42" s="225"/>
      <c r="UVE42" s="220"/>
      <c r="UVF42" s="221"/>
      <c r="UVG42" s="222"/>
      <c r="UVH42" s="222"/>
      <c r="UVI42" s="223"/>
      <c r="UVJ42" s="223"/>
      <c r="UVK42" s="224"/>
      <c r="UVL42" s="223"/>
      <c r="UVM42" s="223"/>
      <c r="UVN42" s="223"/>
      <c r="UVO42" s="223"/>
      <c r="UVP42" s="225"/>
      <c r="UVQ42" s="220"/>
      <c r="UVR42" s="221"/>
      <c r="UVS42" s="222"/>
      <c r="UVT42" s="222"/>
      <c r="UVU42" s="223"/>
      <c r="UVV42" s="223"/>
      <c r="UVW42" s="224"/>
      <c r="UVX42" s="223"/>
      <c r="UVY42" s="223"/>
      <c r="UVZ42" s="223"/>
      <c r="UWA42" s="223"/>
      <c r="UWB42" s="225"/>
      <c r="UWC42" s="220"/>
      <c r="UWD42" s="221"/>
      <c r="UWE42" s="222"/>
      <c r="UWF42" s="222"/>
      <c r="UWG42" s="223"/>
      <c r="UWH42" s="223"/>
      <c r="UWI42" s="224"/>
      <c r="UWJ42" s="223"/>
      <c r="UWK42" s="223"/>
      <c r="UWL42" s="223"/>
      <c r="UWM42" s="223"/>
      <c r="UWN42" s="225"/>
      <c r="UWO42" s="220"/>
      <c r="UWP42" s="221"/>
      <c r="UWQ42" s="222"/>
      <c r="UWR42" s="222"/>
      <c r="UWS42" s="223"/>
      <c r="UWT42" s="223"/>
      <c r="UWU42" s="224"/>
      <c r="UWV42" s="223"/>
      <c r="UWW42" s="223"/>
      <c r="UWX42" s="223"/>
      <c r="UWY42" s="223"/>
      <c r="UWZ42" s="225"/>
      <c r="UXA42" s="220"/>
      <c r="UXB42" s="221"/>
      <c r="UXC42" s="222"/>
      <c r="UXD42" s="222"/>
      <c r="UXE42" s="223"/>
      <c r="UXF42" s="223"/>
      <c r="UXG42" s="224"/>
      <c r="UXH42" s="223"/>
      <c r="UXI42" s="223"/>
      <c r="UXJ42" s="223"/>
      <c r="UXK42" s="223"/>
      <c r="UXL42" s="225"/>
      <c r="UXM42" s="220"/>
      <c r="UXN42" s="221"/>
      <c r="UXO42" s="222"/>
      <c r="UXP42" s="222"/>
      <c r="UXQ42" s="223"/>
      <c r="UXR42" s="223"/>
      <c r="UXS42" s="224"/>
      <c r="UXT42" s="223"/>
      <c r="UXU42" s="223"/>
      <c r="UXV42" s="223"/>
      <c r="UXW42" s="223"/>
      <c r="UXX42" s="225"/>
      <c r="UXY42" s="220"/>
      <c r="UXZ42" s="221"/>
      <c r="UYA42" s="222"/>
      <c r="UYB42" s="222"/>
      <c r="UYC42" s="223"/>
      <c r="UYD42" s="223"/>
      <c r="UYE42" s="224"/>
      <c r="UYF42" s="223"/>
      <c r="UYG42" s="223"/>
      <c r="UYH42" s="223"/>
      <c r="UYI42" s="223"/>
      <c r="UYJ42" s="225"/>
      <c r="UYK42" s="220"/>
      <c r="UYL42" s="221"/>
      <c r="UYM42" s="222"/>
      <c r="UYN42" s="222"/>
      <c r="UYO42" s="223"/>
      <c r="UYP42" s="223"/>
      <c r="UYQ42" s="224"/>
      <c r="UYR42" s="223"/>
      <c r="UYS42" s="223"/>
      <c r="UYT42" s="223"/>
      <c r="UYU42" s="223"/>
      <c r="UYV42" s="225"/>
      <c r="UYW42" s="220"/>
      <c r="UYX42" s="221"/>
      <c r="UYY42" s="222"/>
      <c r="UYZ42" s="222"/>
      <c r="UZA42" s="223"/>
      <c r="UZB42" s="223"/>
      <c r="UZC42" s="224"/>
      <c r="UZD42" s="223"/>
      <c r="UZE42" s="223"/>
      <c r="UZF42" s="223"/>
      <c r="UZG42" s="223"/>
      <c r="UZH42" s="225"/>
      <c r="UZI42" s="220"/>
      <c r="UZJ42" s="221"/>
      <c r="UZK42" s="222"/>
      <c r="UZL42" s="222"/>
      <c r="UZM42" s="223"/>
      <c r="UZN42" s="223"/>
      <c r="UZO42" s="224"/>
      <c r="UZP42" s="223"/>
      <c r="UZQ42" s="223"/>
      <c r="UZR42" s="223"/>
      <c r="UZS42" s="223"/>
      <c r="UZT42" s="225"/>
      <c r="UZU42" s="220"/>
      <c r="UZV42" s="221"/>
      <c r="UZW42" s="222"/>
      <c r="UZX42" s="222"/>
      <c r="UZY42" s="223"/>
      <c r="UZZ42" s="223"/>
      <c r="VAA42" s="224"/>
      <c r="VAB42" s="223"/>
      <c r="VAC42" s="223"/>
      <c r="VAD42" s="223"/>
      <c r="VAE42" s="223"/>
      <c r="VAF42" s="225"/>
      <c r="VAG42" s="220"/>
      <c r="VAH42" s="221"/>
      <c r="VAI42" s="222"/>
      <c r="VAJ42" s="222"/>
      <c r="VAK42" s="223"/>
      <c r="VAL42" s="223"/>
      <c r="VAM42" s="224"/>
      <c r="VAN42" s="223"/>
      <c r="VAO42" s="223"/>
      <c r="VAP42" s="223"/>
      <c r="VAQ42" s="223"/>
      <c r="VAR42" s="225"/>
      <c r="VAS42" s="220"/>
      <c r="VAT42" s="221"/>
      <c r="VAU42" s="222"/>
      <c r="VAV42" s="222"/>
      <c r="VAW42" s="223"/>
      <c r="VAX42" s="223"/>
      <c r="VAY42" s="224"/>
      <c r="VAZ42" s="223"/>
      <c r="VBA42" s="223"/>
      <c r="VBB42" s="223"/>
      <c r="VBC42" s="223"/>
      <c r="VBD42" s="225"/>
      <c r="VBE42" s="220"/>
      <c r="VBF42" s="221"/>
      <c r="VBG42" s="222"/>
      <c r="VBH42" s="222"/>
      <c r="VBI42" s="223"/>
      <c r="VBJ42" s="223"/>
      <c r="VBK42" s="224"/>
      <c r="VBL42" s="223"/>
      <c r="VBM42" s="223"/>
      <c r="VBN42" s="223"/>
      <c r="VBO42" s="223"/>
      <c r="VBP42" s="225"/>
      <c r="VBQ42" s="220"/>
      <c r="VBR42" s="221"/>
      <c r="VBS42" s="222"/>
      <c r="VBT42" s="222"/>
      <c r="VBU42" s="223"/>
      <c r="VBV42" s="223"/>
      <c r="VBW42" s="224"/>
      <c r="VBX42" s="223"/>
      <c r="VBY42" s="223"/>
      <c r="VBZ42" s="223"/>
      <c r="VCA42" s="223"/>
      <c r="VCB42" s="225"/>
      <c r="VCC42" s="220"/>
      <c r="VCD42" s="221"/>
      <c r="VCE42" s="222"/>
      <c r="VCF42" s="222"/>
      <c r="VCG42" s="223"/>
      <c r="VCH42" s="223"/>
      <c r="VCI42" s="224"/>
      <c r="VCJ42" s="223"/>
      <c r="VCK42" s="223"/>
      <c r="VCL42" s="223"/>
      <c r="VCM42" s="223"/>
      <c r="VCN42" s="225"/>
      <c r="VCO42" s="220"/>
      <c r="VCP42" s="221"/>
      <c r="VCQ42" s="222"/>
      <c r="VCR42" s="222"/>
      <c r="VCS42" s="223"/>
      <c r="VCT42" s="223"/>
      <c r="VCU42" s="224"/>
      <c r="VCV42" s="223"/>
      <c r="VCW42" s="223"/>
      <c r="VCX42" s="223"/>
      <c r="VCY42" s="223"/>
      <c r="VCZ42" s="225"/>
      <c r="VDA42" s="220"/>
      <c r="VDB42" s="221"/>
      <c r="VDC42" s="222"/>
      <c r="VDD42" s="222"/>
      <c r="VDE42" s="223"/>
      <c r="VDF42" s="223"/>
      <c r="VDG42" s="224"/>
      <c r="VDH42" s="223"/>
      <c r="VDI42" s="223"/>
      <c r="VDJ42" s="223"/>
      <c r="VDK42" s="223"/>
      <c r="VDL42" s="225"/>
      <c r="VDM42" s="220"/>
      <c r="VDN42" s="221"/>
      <c r="VDO42" s="222"/>
      <c r="VDP42" s="222"/>
      <c r="VDQ42" s="223"/>
      <c r="VDR42" s="223"/>
      <c r="VDS42" s="224"/>
      <c r="VDT42" s="223"/>
      <c r="VDU42" s="223"/>
      <c r="VDV42" s="223"/>
      <c r="VDW42" s="223"/>
      <c r="VDX42" s="225"/>
      <c r="VDY42" s="220"/>
      <c r="VDZ42" s="221"/>
      <c r="VEA42" s="222"/>
      <c r="VEB42" s="222"/>
      <c r="VEC42" s="223"/>
      <c r="VED42" s="223"/>
      <c r="VEE42" s="224"/>
      <c r="VEF42" s="223"/>
      <c r="VEG42" s="223"/>
      <c r="VEH42" s="223"/>
      <c r="VEI42" s="223"/>
      <c r="VEJ42" s="225"/>
      <c r="VEK42" s="220"/>
      <c r="VEL42" s="221"/>
      <c r="VEM42" s="222"/>
      <c r="VEN42" s="222"/>
      <c r="VEO42" s="223"/>
      <c r="VEP42" s="223"/>
      <c r="VEQ42" s="224"/>
      <c r="VER42" s="223"/>
      <c r="VES42" s="223"/>
      <c r="VET42" s="223"/>
      <c r="VEU42" s="223"/>
      <c r="VEV42" s="225"/>
      <c r="VEW42" s="220"/>
      <c r="VEX42" s="221"/>
      <c r="VEY42" s="222"/>
      <c r="VEZ42" s="222"/>
      <c r="VFA42" s="223"/>
      <c r="VFB42" s="223"/>
      <c r="VFC42" s="224"/>
      <c r="VFD42" s="223"/>
      <c r="VFE42" s="223"/>
      <c r="VFF42" s="223"/>
      <c r="VFG42" s="223"/>
      <c r="VFH42" s="225"/>
      <c r="VFI42" s="220"/>
      <c r="VFJ42" s="221"/>
      <c r="VFK42" s="222"/>
      <c r="VFL42" s="222"/>
      <c r="VFM42" s="223"/>
      <c r="VFN42" s="223"/>
      <c r="VFO42" s="224"/>
      <c r="VFP42" s="223"/>
      <c r="VFQ42" s="223"/>
      <c r="VFR42" s="223"/>
      <c r="VFS42" s="223"/>
      <c r="VFT42" s="225"/>
      <c r="VFU42" s="220"/>
      <c r="VFV42" s="221"/>
      <c r="VFW42" s="222"/>
      <c r="VFX42" s="222"/>
      <c r="VFY42" s="223"/>
      <c r="VFZ42" s="223"/>
      <c r="VGA42" s="224"/>
      <c r="VGB42" s="223"/>
      <c r="VGC42" s="223"/>
      <c r="VGD42" s="223"/>
      <c r="VGE42" s="223"/>
      <c r="VGF42" s="225"/>
      <c r="VGG42" s="220"/>
      <c r="VGH42" s="221"/>
      <c r="VGI42" s="222"/>
      <c r="VGJ42" s="222"/>
      <c r="VGK42" s="223"/>
      <c r="VGL42" s="223"/>
      <c r="VGM42" s="224"/>
      <c r="VGN42" s="223"/>
      <c r="VGO42" s="223"/>
      <c r="VGP42" s="223"/>
      <c r="VGQ42" s="223"/>
      <c r="VGR42" s="225"/>
      <c r="VGS42" s="220"/>
      <c r="VGT42" s="221"/>
      <c r="VGU42" s="222"/>
      <c r="VGV42" s="222"/>
      <c r="VGW42" s="223"/>
      <c r="VGX42" s="223"/>
      <c r="VGY42" s="224"/>
      <c r="VGZ42" s="223"/>
      <c r="VHA42" s="223"/>
      <c r="VHB42" s="223"/>
      <c r="VHC42" s="223"/>
      <c r="VHD42" s="225"/>
      <c r="VHE42" s="220"/>
      <c r="VHF42" s="221"/>
      <c r="VHG42" s="222"/>
      <c r="VHH42" s="222"/>
      <c r="VHI42" s="223"/>
      <c r="VHJ42" s="223"/>
      <c r="VHK42" s="224"/>
      <c r="VHL42" s="223"/>
      <c r="VHM42" s="223"/>
      <c r="VHN42" s="223"/>
      <c r="VHO42" s="223"/>
      <c r="VHP42" s="225"/>
      <c r="VHQ42" s="220"/>
      <c r="VHR42" s="221"/>
      <c r="VHS42" s="222"/>
      <c r="VHT42" s="222"/>
      <c r="VHU42" s="223"/>
      <c r="VHV42" s="223"/>
      <c r="VHW42" s="224"/>
      <c r="VHX42" s="223"/>
      <c r="VHY42" s="223"/>
      <c r="VHZ42" s="223"/>
      <c r="VIA42" s="223"/>
      <c r="VIB42" s="225"/>
      <c r="VIC42" s="220"/>
      <c r="VID42" s="221"/>
      <c r="VIE42" s="222"/>
      <c r="VIF42" s="222"/>
      <c r="VIG42" s="223"/>
      <c r="VIH42" s="223"/>
      <c r="VII42" s="224"/>
      <c r="VIJ42" s="223"/>
      <c r="VIK42" s="223"/>
      <c r="VIL42" s="223"/>
      <c r="VIM42" s="223"/>
      <c r="VIN42" s="225"/>
      <c r="VIO42" s="220"/>
      <c r="VIP42" s="221"/>
      <c r="VIQ42" s="222"/>
      <c r="VIR42" s="222"/>
      <c r="VIS42" s="223"/>
      <c r="VIT42" s="223"/>
      <c r="VIU42" s="224"/>
      <c r="VIV42" s="223"/>
      <c r="VIW42" s="223"/>
      <c r="VIX42" s="223"/>
      <c r="VIY42" s="223"/>
      <c r="VIZ42" s="225"/>
      <c r="VJA42" s="220"/>
      <c r="VJB42" s="221"/>
      <c r="VJC42" s="222"/>
      <c r="VJD42" s="222"/>
      <c r="VJE42" s="223"/>
      <c r="VJF42" s="223"/>
      <c r="VJG42" s="224"/>
      <c r="VJH42" s="223"/>
      <c r="VJI42" s="223"/>
      <c r="VJJ42" s="223"/>
      <c r="VJK42" s="223"/>
      <c r="VJL42" s="225"/>
      <c r="VJM42" s="220"/>
      <c r="VJN42" s="221"/>
      <c r="VJO42" s="222"/>
      <c r="VJP42" s="222"/>
      <c r="VJQ42" s="223"/>
      <c r="VJR42" s="223"/>
      <c r="VJS42" s="224"/>
      <c r="VJT42" s="223"/>
      <c r="VJU42" s="223"/>
      <c r="VJV42" s="223"/>
      <c r="VJW42" s="223"/>
      <c r="VJX42" s="225"/>
      <c r="VJY42" s="220"/>
      <c r="VJZ42" s="221"/>
      <c r="VKA42" s="222"/>
      <c r="VKB42" s="222"/>
      <c r="VKC42" s="223"/>
      <c r="VKD42" s="223"/>
      <c r="VKE42" s="224"/>
      <c r="VKF42" s="223"/>
      <c r="VKG42" s="223"/>
      <c r="VKH42" s="223"/>
      <c r="VKI42" s="223"/>
      <c r="VKJ42" s="225"/>
      <c r="VKK42" s="220"/>
      <c r="VKL42" s="221"/>
      <c r="VKM42" s="222"/>
      <c r="VKN42" s="222"/>
      <c r="VKO42" s="223"/>
      <c r="VKP42" s="223"/>
      <c r="VKQ42" s="224"/>
      <c r="VKR42" s="223"/>
      <c r="VKS42" s="223"/>
      <c r="VKT42" s="223"/>
      <c r="VKU42" s="223"/>
      <c r="VKV42" s="225"/>
      <c r="VKW42" s="220"/>
      <c r="VKX42" s="221"/>
      <c r="VKY42" s="222"/>
      <c r="VKZ42" s="222"/>
      <c r="VLA42" s="223"/>
      <c r="VLB42" s="223"/>
      <c r="VLC42" s="224"/>
      <c r="VLD42" s="223"/>
      <c r="VLE42" s="223"/>
      <c r="VLF42" s="223"/>
      <c r="VLG42" s="223"/>
      <c r="VLH42" s="225"/>
      <c r="VLI42" s="220"/>
      <c r="VLJ42" s="221"/>
      <c r="VLK42" s="222"/>
      <c r="VLL42" s="222"/>
      <c r="VLM42" s="223"/>
      <c r="VLN42" s="223"/>
      <c r="VLO42" s="224"/>
      <c r="VLP42" s="223"/>
      <c r="VLQ42" s="223"/>
      <c r="VLR42" s="223"/>
      <c r="VLS42" s="223"/>
      <c r="VLT42" s="225"/>
      <c r="VLU42" s="220"/>
      <c r="VLV42" s="221"/>
      <c r="VLW42" s="222"/>
      <c r="VLX42" s="222"/>
      <c r="VLY42" s="223"/>
      <c r="VLZ42" s="223"/>
      <c r="VMA42" s="224"/>
      <c r="VMB42" s="223"/>
      <c r="VMC42" s="223"/>
      <c r="VMD42" s="223"/>
      <c r="VME42" s="223"/>
      <c r="VMF42" s="225"/>
      <c r="VMG42" s="220"/>
      <c r="VMH42" s="221"/>
      <c r="VMI42" s="222"/>
      <c r="VMJ42" s="222"/>
      <c r="VMK42" s="223"/>
      <c r="VML42" s="223"/>
      <c r="VMM42" s="224"/>
      <c r="VMN42" s="223"/>
      <c r="VMO42" s="223"/>
      <c r="VMP42" s="223"/>
      <c r="VMQ42" s="223"/>
      <c r="VMR42" s="225"/>
      <c r="VMS42" s="220"/>
      <c r="VMT42" s="221"/>
      <c r="VMU42" s="222"/>
      <c r="VMV42" s="222"/>
      <c r="VMW42" s="223"/>
      <c r="VMX42" s="223"/>
      <c r="VMY42" s="224"/>
      <c r="VMZ42" s="223"/>
      <c r="VNA42" s="223"/>
      <c r="VNB42" s="223"/>
      <c r="VNC42" s="223"/>
      <c r="VND42" s="225"/>
      <c r="VNE42" s="220"/>
      <c r="VNF42" s="221"/>
      <c r="VNG42" s="222"/>
      <c r="VNH42" s="222"/>
      <c r="VNI42" s="223"/>
      <c r="VNJ42" s="223"/>
      <c r="VNK42" s="224"/>
      <c r="VNL42" s="223"/>
      <c r="VNM42" s="223"/>
      <c r="VNN42" s="223"/>
      <c r="VNO42" s="223"/>
      <c r="VNP42" s="225"/>
      <c r="VNQ42" s="220"/>
      <c r="VNR42" s="221"/>
      <c r="VNS42" s="222"/>
      <c r="VNT42" s="222"/>
      <c r="VNU42" s="223"/>
      <c r="VNV42" s="223"/>
      <c r="VNW42" s="224"/>
      <c r="VNX42" s="223"/>
      <c r="VNY42" s="223"/>
      <c r="VNZ42" s="223"/>
      <c r="VOA42" s="223"/>
      <c r="VOB42" s="225"/>
      <c r="VOC42" s="220"/>
      <c r="VOD42" s="221"/>
      <c r="VOE42" s="222"/>
      <c r="VOF42" s="222"/>
      <c r="VOG42" s="223"/>
      <c r="VOH42" s="223"/>
      <c r="VOI42" s="224"/>
      <c r="VOJ42" s="223"/>
      <c r="VOK42" s="223"/>
      <c r="VOL42" s="223"/>
      <c r="VOM42" s="223"/>
      <c r="VON42" s="225"/>
      <c r="VOO42" s="220"/>
      <c r="VOP42" s="221"/>
      <c r="VOQ42" s="222"/>
      <c r="VOR42" s="222"/>
      <c r="VOS42" s="223"/>
      <c r="VOT42" s="223"/>
      <c r="VOU42" s="224"/>
      <c r="VOV42" s="223"/>
      <c r="VOW42" s="223"/>
      <c r="VOX42" s="223"/>
      <c r="VOY42" s="223"/>
      <c r="VOZ42" s="225"/>
      <c r="VPA42" s="220"/>
      <c r="VPB42" s="221"/>
      <c r="VPC42" s="222"/>
      <c r="VPD42" s="222"/>
      <c r="VPE42" s="223"/>
      <c r="VPF42" s="223"/>
      <c r="VPG42" s="224"/>
      <c r="VPH42" s="223"/>
      <c r="VPI42" s="223"/>
      <c r="VPJ42" s="223"/>
      <c r="VPK42" s="223"/>
      <c r="VPL42" s="225"/>
      <c r="VPM42" s="220"/>
      <c r="VPN42" s="221"/>
      <c r="VPO42" s="222"/>
      <c r="VPP42" s="222"/>
      <c r="VPQ42" s="223"/>
      <c r="VPR42" s="223"/>
      <c r="VPS42" s="224"/>
      <c r="VPT42" s="223"/>
      <c r="VPU42" s="223"/>
      <c r="VPV42" s="223"/>
      <c r="VPW42" s="223"/>
      <c r="VPX42" s="225"/>
      <c r="VPY42" s="220"/>
      <c r="VPZ42" s="221"/>
      <c r="VQA42" s="222"/>
      <c r="VQB42" s="222"/>
      <c r="VQC42" s="223"/>
      <c r="VQD42" s="223"/>
      <c r="VQE42" s="224"/>
      <c r="VQF42" s="223"/>
      <c r="VQG42" s="223"/>
      <c r="VQH42" s="223"/>
      <c r="VQI42" s="223"/>
      <c r="VQJ42" s="225"/>
      <c r="VQK42" s="220"/>
      <c r="VQL42" s="221"/>
      <c r="VQM42" s="222"/>
      <c r="VQN42" s="222"/>
      <c r="VQO42" s="223"/>
      <c r="VQP42" s="223"/>
      <c r="VQQ42" s="224"/>
      <c r="VQR42" s="223"/>
      <c r="VQS42" s="223"/>
      <c r="VQT42" s="223"/>
      <c r="VQU42" s="223"/>
      <c r="VQV42" s="225"/>
      <c r="VQW42" s="220"/>
      <c r="VQX42" s="221"/>
      <c r="VQY42" s="222"/>
      <c r="VQZ42" s="222"/>
      <c r="VRA42" s="223"/>
      <c r="VRB42" s="223"/>
      <c r="VRC42" s="224"/>
      <c r="VRD42" s="223"/>
      <c r="VRE42" s="223"/>
      <c r="VRF42" s="223"/>
      <c r="VRG42" s="223"/>
      <c r="VRH42" s="225"/>
      <c r="VRI42" s="220"/>
      <c r="VRJ42" s="221"/>
      <c r="VRK42" s="222"/>
      <c r="VRL42" s="222"/>
      <c r="VRM42" s="223"/>
      <c r="VRN42" s="223"/>
      <c r="VRO42" s="224"/>
      <c r="VRP42" s="223"/>
      <c r="VRQ42" s="223"/>
      <c r="VRR42" s="223"/>
      <c r="VRS42" s="223"/>
      <c r="VRT42" s="225"/>
      <c r="VRU42" s="220"/>
      <c r="VRV42" s="221"/>
      <c r="VRW42" s="222"/>
      <c r="VRX42" s="222"/>
      <c r="VRY42" s="223"/>
      <c r="VRZ42" s="223"/>
      <c r="VSA42" s="224"/>
      <c r="VSB42" s="223"/>
      <c r="VSC42" s="223"/>
      <c r="VSD42" s="223"/>
      <c r="VSE42" s="223"/>
      <c r="VSF42" s="225"/>
      <c r="VSG42" s="220"/>
      <c r="VSH42" s="221"/>
      <c r="VSI42" s="222"/>
      <c r="VSJ42" s="222"/>
      <c r="VSK42" s="223"/>
      <c r="VSL42" s="223"/>
      <c r="VSM42" s="224"/>
      <c r="VSN42" s="223"/>
      <c r="VSO42" s="223"/>
      <c r="VSP42" s="223"/>
      <c r="VSQ42" s="223"/>
      <c r="VSR42" s="225"/>
      <c r="VSS42" s="220"/>
      <c r="VST42" s="221"/>
      <c r="VSU42" s="222"/>
      <c r="VSV42" s="222"/>
      <c r="VSW42" s="223"/>
      <c r="VSX42" s="223"/>
      <c r="VSY42" s="224"/>
      <c r="VSZ42" s="223"/>
      <c r="VTA42" s="223"/>
      <c r="VTB42" s="223"/>
      <c r="VTC42" s="223"/>
      <c r="VTD42" s="225"/>
      <c r="VTE42" s="220"/>
      <c r="VTF42" s="221"/>
      <c r="VTG42" s="222"/>
      <c r="VTH42" s="222"/>
      <c r="VTI42" s="223"/>
      <c r="VTJ42" s="223"/>
      <c r="VTK42" s="224"/>
      <c r="VTL42" s="223"/>
      <c r="VTM42" s="223"/>
      <c r="VTN42" s="223"/>
      <c r="VTO42" s="223"/>
      <c r="VTP42" s="225"/>
      <c r="VTQ42" s="220"/>
      <c r="VTR42" s="221"/>
      <c r="VTS42" s="222"/>
      <c r="VTT42" s="222"/>
      <c r="VTU42" s="223"/>
      <c r="VTV42" s="223"/>
      <c r="VTW42" s="224"/>
      <c r="VTX42" s="223"/>
      <c r="VTY42" s="223"/>
      <c r="VTZ42" s="223"/>
      <c r="VUA42" s="223"/>
      <c r="VUB42" s="225"/>
      <c r="VUC42" s="220"/>
      <c r="VUD42" s="221"/>
      <c r="VUE42" s="222"/>
      <c r="VUF42" s="222"/>
      <c r="VUG42" s="223"/>
      <c r="VUH42" s="223"/>
      <c r="VUI42" s="224"/>
      <c r="VUJ42" s="223"/>
      <c r="VUK42" s="223"/>
      <c r="VUL42" s="223"/>
      <c r="VUM42" s="223"/>
      <c r="VUN42" s="225"/>
      <c r="VUO42" s="220"/>
      <c r="VUP42" s="221"/>
      <c r="VUQ42" s="222"/>
      <c r="VUR42" s="222"/>
      <c r="VUS42" s="223"/>
      <c r="VUT42" s="223"/>
      <c r="VUU42" s="224"/>
      <c r="VUV42" s="223"/>
      <c r="VUW42" s="223"/>
      <c r="VUX42" s="223"/>
      <c r="VUY42" s="223"/>
      <c r="VUZ42" s="225"/>
      <c r="VVA42" s="220"/>
      <c r="VVB42" s="221"/>
      <c r="VVC42" s="222"/>
      <c r="VVD42" s="222"/>
      <c r="VVE42" s="223"/>
      <c r="VVF42" s="223"/>
      <c r="VVG42" s="224"/>
      <c r="VVH42" s="223"/>
      <c r="VVI42" s="223"/>
      <c r="VVJ42" s="223"/>
      <c r="VVK42" s="223"/>
      <c r="VVL42" s="225"/>
      <c r="VVM42" s="220"/>
      <c r="VVN42" s="221"/>
      <c r="VVO42" s="222"/>
      <c r="VVP42" s="222"/>
      <c r="VVQ42" s="223"/>
      <c r="VVR42" s="223"/>
      <c r="VVS42" s="224"/>
      <c r="VVT42" s="223"/>
      <c r="VVU42" s="223"/>
      <c r="VVV42" s="223"/>
      <c r="VVW42" s="223"/>
      <c r="VVX42" s="225"/>
      <c r="VVY42" s="220"/>
      <c r="VVZ42" s="221"/>
      <c r="VWA42" s="222"/>
      <c r="VWB42" s="222"/>
      <c r="VWC42" s="223"/>
      <c r="VWD42" s="223"/>
      <c r="VWE42" s="224"/>
      <c r="VWF42" s="223"/>
      <c r="VWG42" s="223"/>
      <c r="VWH42" s="223"/>
      <c r="VWI42" s="223"/>
      <c r="VWJ42" s="225"/>
      <c r="VWK42" s="220"/>
      <c r="VWL42" s="221"/>
      <c r="VWM42" s="222"/>
      <c r="VWN42" s="222"/>
      <c r="VWO42" s="223"/>
      <c r="VWP42" s="223"/>
      <c r="VWQ42" s="224"/>
      <c r="VWR42" s="223"/>
      <c r="VWS42" s="223"/>
      <c r="VWT42" s="223"/>
      <c r="VWU42" s="223"/>
      <c r="VWV42" s="225"/>
      <c r="VWW42" s="220"/>
      <c r="VWX42" s="221"/>
      <c r="VWY42" s="222"/>
      <c r="VWZ42" s="222"/>
      <c r="VXA42" s="223"/>
      <c r="VXB42" s="223"/>
      <c r="VXC42" s="224"/>
      <c r="VXD42" s="223"/>
      <c r="VXE42" s="223"/>
      <c r="VXF42" s="223"/>
      <c r="VXG42" s="223"/>
      <c r="VXH42" s="225"/>
      <c r="VXI42" s="220"/>
      <c r="VXJ42" s="221"/>
      <c r="VXK42" s="222"/>
      <c r="VXL42" s="222"/>
      <c r="VXM42" s="223"/>
      <c r="VXN42" s="223"/>
      <c r="VXO42" s="224"/>
      <c r="VXP42" s="223"/>
      <c r="VXQ42" s="223"/>
      <c r="VXR42" s="223"/>
      <c r="VXS42" s="223"/>
      <c r="VXT42" s="225"/>
      <c r="VXU42" s="220"/>
      <c r="VXV42" s="221"/>
      <c r="VXW42" s="222"/>
      <c r="VXX42" s="222"/>
      <c r="VXY42" s="223"/>
      <c r="VXZ42" s="223"/>
      <c r="VYA42" s="224"/>
      <c r="VYB42" s="223"/>
      <c r="VYC42" s="223"/>
      <c r="VYD42" s="223"/>
      <c r="VYE42" s="223"/>
      <c r="VYF42" s="225"/>
      <c r="VYG42" s="220"/>
      <c r="VYH42" s="221"/>
      <c r="VYI42" s="222"/>
      <c r="VYJ42" s="222"/>
      <c r="VYK42" s="223"/>
      <c r="VYL42" s="223"/>
      <c r="VYM42" s="224"/>
      <c r="VYN42" s="223"/>
      <c r="VYO42" s="223"/>
      <c r="VYP42" s="223"/>
      <c r="VYQ42" s="223"/>
      <c r="VYR42" s="225"/>
      <c r="VYS42" s="220"/>
      <c r="VYT42" s="221"/>
      <c r="VYU42" s="222"/>
      <c r="VYV42" s="222"/>
      <c r="VYW42" s="223"/>
      <c r="VYX42" s="223"/>
      <c r="VYY42" s="224"/>
      <c r="VYZ42" s="223"/>
      <c r="VZA42" s="223"/>
      <c r="VZB42" s="223"/>
      <c r="VZC42" s="223"/>
      <c r="VZD42" s="225"/>
      <c r="VZE42" s="220"/>
      <c r="VZF42" s="221"/>
      <c r="VZG42" s="222"/>
      <c r="VZH42" s="222"/>
      <c r="VZI42" s="223"/>
      <c r="VZJ42" s="223"/>
      <c r="VZK42" s="224"/>
      <c r="VZL42" s="223"/>
      <c r="VZM42" s="223"/>
      <c r="VZN42" s="223"/>
      <c r="VZO42" s="223"/>
      <c r="VZP42" s="225"/>
      <c r="VZQ42" s="220"/>
      <c r="VZR42" s="221"/>
      <c r="VZS42" s="222"/>
      <c r="VZT42" s="222"/>
      <c r="VZU42" s="223"/>
      <c r="VZV42" s="223"/>
      <c r="VZW42" s="224"/>
      <c r="VZX42" s="223"/>
      <c r="VZY42" s="223"/>
      <c r="VZZ42" s="223"/>
      <c r="WAA42" s="223"/>
      <c r="WAB42" s="225"/>
      <c r="WAC42" s="220"/>
      <c r="WAD42" s="221"/>
      <c r="WAE42" s="222"/>
      <c r="WAF42" s="222"/>
      <c r="WAG42" s="223"/>
      <c r="WAH42" s="223"/>
      <c r="WAI42" s="224"/>
      <c r="WAJ42" s="223"/>
      <c r="WAK42" s="223"/>
      <c r="WAL42" s="223"/>
      <c r="WAM42" s="223"/>
      <c r="WAN42" s="225"/>
      <c r="WAO42" s="220"/>
      <c r="WAP42" s="221"/>
      <c r="WAQ42" s="222"/>
      <c r="WAR42" s="222"/>
      <c r="WAS42" s="223"/>
      <c r="WAT42" s="223"/>
      <c r="WAU42" s="224"/>
      <c r="WAV42" s="223"/>
      <c r="WAW42" s="223"/>
      <c r="WAX42" s="223"/>
      <c r="WAY42" s="223"/>
      <c r="WAZ42" s="225"/>
      <c r="WBA42" s="220"/>
      <c r="WBB42" s="221"/>
      <c r="WBC42" s="222"/>
      <c r="WBD42" s="222"/>
      <c r="WBE42" s="223"/>
      <c r="WBF42" s="223"/>
      <c r="WBG42" s="224"/>
      <c r="WBH42" s="223"/>
      <c r="WBI42" s="223"/>
      <c r="WBJ42" s="223"/>
      <c r="WBK42" s="223"/>
      <c r="WBL42" s="225"/>
      <c r="WBM42" s="220"/>
      <c r="WBN42" s="221"/>
      <c r="WBO42" s="222"/>
      <c r="WBP42" s="222"/>
      <c r="WBQ42" s="223"/>
      <c r="WBR42" s="223"/>
      <c r="WBS42" s="224"/>
      <c r="WBT42" s="223"/>
      <c r="WBU42" s="223"/>
      <c r="WBV42" s="223"/>
      <c r="WBW42" s="223"/>
      <c r="WBX42" s="225"/>
      <c r="WBY42" s="220"/>
      <c r="WBZ42" s="221"/>
      <c r="WCA42" s="222"/>
      <c r="WCB42" s="222"/>
      <c r="WCC42" s="223"/>
      <c r="WCD42" s="223"/>
      <c r="WCE42" s="224"/>
      <c r="WCF42" s="223"/>
      <c r="WCG42" s="223"/>
      <c r="WCH42" s="223"/>
      <c r="WCI42" s="223"/>
      <c r="WCJ42" s="225"/>
      <c r="WCK42" s="220"/>
      <c r="WCL42" s="221"/>
      <c r="WCM42" s="222"/>
      <c r="WCN42" s="222"/>
      <c r="WCO42" s="223"/>
      <c r="WCP42" s="223"/>
      <c r="WCQ42" s="224"/>
      <c r="WCR42" s="223"/>
      <c r="WCS42" s="223"/>
      <c r="WCT42" s="223"/>
      <c r="WCU42" s="223"/>
      <c r="WCV42" s="225"/>
      <c r="WCW42" s="220"/>
      <c r="WCX42" s="221"/>
      <c r="WCY42" s="222"/>
      <c r="WCZ42" s="222"/>
      <c r="WDA42" s="223"/>
      <c r="WDB42" s="223"/>
      <c r="WDC42" s="224"/>
      <c r="WDD42" s="223"/>
      <c r="WDE42" s="223"/>
      <c r="WDF42" s="223"/>
      <c r="WDG42" s="223"/>
      <c r="WDH42" s="225"/>
      <c r="WDI42" s="220"/>
      <c r="WDJ42" s="221"/>
      <c r="WDK42" s="222"/>
      <c r="WDL42" s="222"/>
      <c r="WDM42" s="223"/>
      <c r="WDN42" s="223"/>
      <c r="WDO42" s="224"/>
      <c r="WDP42" s="223"/>
      <c r="WDQ42" s="223"/>
      <c r="WDR42" s="223"/>
      <c r="WDS42" s="223"/>
      <c r="WDT42" s="225"/>
      <c r="WDU42" s="220"/>
      <c r="WDV42" s="221"/>
      <c r="WDW42" s="222"/>
      <c r="WDX42" s="222"/>
      <c r="WDY42" s="223"/>
      <c r="WDZ42" s="223"/>
      <c r="WEA42" s="224"/>
      <c r="WEB42" s="223"/>
      <c r="WEC42" s="223"/>
      <c r="WED42" s="223"/>
      <c r="WEE42" s="223"/>
      <c r="WEF42" s="225"/>
      <c r="WEG42" s="220"/>
      <c r="WEH42" s="221"/>
      <c r="WEI42" s="222"/>
      <c r="WEJ42" s="222"/>
      <c r="WEK42" s="223"/>
      <c r="WEL42" s="223"/>
      <c r="WEM42" s="224"/>
      <c r="WEN42" s="223"/>
      <c r="WEO42" s="223"/>
      <c r="WEP42" s="223"/>
      <c r="WEQ42" s="223"/>
      <c r="WER42" s="225"/>
      <c r="WES42" s="220"/>
      <c r="WET42" s="221"/>
      <c r="WEU42" s="222"/>
      <c r="WEV42" s="222"/>
      <c r="WEW42" s="223"/>
      <c r="WEX42" s="223"/>
      <c r="WEY42" s="224"/>
      <c r="WEZ42" s="223"/>
      <c r="WFA42" s="223"/>
      <c r="WFB42" s="223"/>
      <c r="WFC42" s="223"/>
      <c r="WFD42" s="225"/>
      <c r="WFE42" s="220"/>
      <c r="WFF42" s="221"/>
      <c r="WFG42" s="222"/>
      <c r="WFH42" s="222"/>
      <c r="WFI42" s="223"/>
      <c r="WFJ42" s="223"/>
      <c r="WFK42" s="224"/>
      <c r="WFL42" s="223"/>
      <c r="WFM42" s="223"/>
      <c r="WFN42" s="223"/>
      <c r="WFO42" s="223"/>
      <c r="WFP42" s="225"/>
      <c r="WFQ42" s="220"/>
      <c r="WFR42" s="221"/>
      <c r="WFS42" s="222"/>
      <c r="WFT42" s="222"/>
      <c r="WFU42" s="223"/>
      <c r="WFV42" s="223"/>
      <c r="WFW42" s="224"/>
      <c r="WFX42" s="223"/>
      <c r="WFY42" s="223"/>
      <c r="WFZ42" s="223"/>
      <c r="WGA42" s="223"/>
      <c r="WGB42" s="225"/>
      <c r="WGC42" s="220"/>
      <c r="WGD42" s="221"/>
      <c r="WGE42" s="222"/>
      <c r="WGF42" s="222"/>
      <c r="WGG42" s="223"/>
      <c r="WGH42" s="223"/>
      <c r="WGI42" s="224"/>
      <c r="WGJ42" s="223"/>
      <c r="WGK42" s="223"/>
      <c r="WGL42" s="223"/>
      <c r="WGM42" s="223"/>
      <c r="WGN42" s="225"/>
      <c r="WGO42" s="220"/>
      <c r="WGP42" s="221"/>
      <c r="WGQ42" s="222"/>
      <c r="WGR42" s="222"/>
      <c r="WGS42" s="223"/>
      <c r="WGT42" s="223"/>
      <c r="WGU42" s="224"/>
      <c r="WGV42" s="223"/>
      <c r="WGW42" s="223"/>
      <c r="WGX42" s="223"/>
      <c r="WGY42" s="223"/>
      <c r="WGZ42" s="225"/>
      <c r="WHA42" s="220"/>
      <c r="WHB42" s="221"/>
      <c r="WHC42" s="222"/>
      <c r="WHD42" s="222"/>
      <c r="WHE42" s="223"/>
      <c r="WHF42" s="223"/>
      <c r="WHG42" s="224"/>
      <c r="WHH42" s="223"/>
      <c r="WHI42" s="223"/>
      <c r="WHJ42" s="223"/>
      <c r="WHK42" s="223"/>
      <c r="WHL42" s="225"/>
      <c r="WHM42" s="220"/>
      <c r="WHN42" s="221"/>
      <c r="WHO42" s="222"/>
      <c r="WHP42" s="222"/>
      <c r="WHQ42" s="223"/>
      <c r="WHR42" s="223"/>
      <c r="WHS42" s="224"/>
      <c r="WHT42" s="223"/>
      <c r="WHU42" s="223"/>
      <c r="WHV42" s="223"/>
      <c r="WHW42" s="223"/>
      <c r="WHX42" s="225"/>
      <c r="WHY42" s="220"/>
      <c r="WHZ42" s="221"/>
      <c r="WIA42" s="222"/>
      <c r="WIB42" s="222"/>
      <c r="WIC42" s="223"/>
      <c r="WID42" s="223"/>
      <c r="WIE42" s="224"/>
      <c r="WIF42" s="223"/>
      <c r="WIG42" s="223"/>
      <c r="WIH42" s="223"/>
      <c r="WII42" s="223"/>
      <c r="WIJ42" s="225"/>
      <c r="WIK42" s="220"/>
      <c r="WIL42" s="221"/>
      <c r="WIM42" s="222"/>
      <c r="WIN42" s="222"/>
      <c r="WIO42" s="223"/>
      <c r="WIP42" s="223"/>
      <c r="WIQ42" s="224"/>
      <c r="WIR42" s="223"/>
      <c r="WIS42" s="223"/>
      <c r="WIT42" s="223"/>
      <c r="WIU42" s="223"/>
      <c r="WIV42" s="225"/>
      <c r="WIW42" s="220"/>
      <c r="WIX42" s="221"/>
      <c r="WIY42" s="222"/>
      <c r="WIZ42" s="222"/>
      <c r="WJA42" s="223"/>
      <c r="WJB42" s="223"/>
      <c r="WJC42" s="224"/>
      <c r="WJD42" s="223"/>
      <c r="WJE42" s="223"/>
      <c r="WJF42" s="223"/>
      <c r="WJG42" s="223"/>
      <c r="WJH42" s="225"/>
      <c r="WJI42" s="220"/>
      <c r="WJJ42" s="221"/>
      <c r="WJK42" s="222"/>
      <c r="WJL42" s="222"/>
      <c r="WJM42" s="223"/>
      <c r="WJN42" s="223"/>
      <c r="WJO42" s="224"/>
      <c r="WJP42" s="223"/>
      <c r="WJQ42" s="223"/>
      <c r="WJR42" s="223"/>
      <c r="WJS42" s="223"/>
      <c r="WJT42" s="225"/>
      <c r="WJU42" s="220"/>
      <c r="WJV42" s="221"/>
      <c r="WJW42" s="222"/>
      <c r="WJX42" s="222"/>
      <c r="WJY42" s="223"/>
      <c r="WJZ42" s="223"/>
      <c r="WKA42" s="224"/>
      <c r="WKB42" s="223"/>
      <c r="WKC42" s="223"/>
      <c r="WKD42" s="223"/>
      <c r="WKE42" s="223"/>
      <c r="WKF42" s="225"/>
      <c r="WKG42" s="220"/>
      <c r="WKH42" s="221"/>
      <c r="WKI42" s="222"/>
      <c r="WKJ42" s="222"/>
      <c r="WKK42" s="223"/>
      <c r="WKL42" s="223"/>
      <c r="WKM42" s="224"/>
      <c r="WKN42" s="223"/>
      <c r="WKO42" s="223"/>
      <c r="WKP42" s="223"/>
      <c r="WKQ42" s="223"/>
      <c r="WKR42" s="225"/>
      <c r="WKS42" s="220"/>
      <c r="WKT42" s="221"/>
      <c r="WKU42" s="222"/>
      <c r="WKV42" s="222"/>
      <c r="WKW42" s="223"/>
      <c r="WKX42" s="223"/>
      <c r="WKY42" s="224"/>
      <c r="WKZ42" s="223"/>
      <c r="WLA42" s="223"/>
      <c r="WLB42" s="223"/>
      <c r="WLC42" s="223"/>
      <c r="WLD42" s="225"/>
      <c r="WLE42" s="220"/>
      <c r="WLF42" s="221"/>
      <c r="WLG42" s="222"/>
      <c r="WLH42" s="222"/>
      <c r="WLI42" s="223"/>
      <c r="WLJ42" s="223"/>
      <c r="WLK42" s="224"/>
      <c r="WLL42" s="223"/>
      <c r="WLM42" s="223"/>
      <c r="WLN42" s="223"/>
      <c r="WLO42" s="223"/>
      <c r="WLP42" s="225"/>
      <c r="WLQ42" s="220"/>
      <c r="WLR42" s="221"/>
      <c r="WLS42" s="222"/>
      <c r="WLT42" s="222"/>
      <c r="WLU42" s="223"/>
      <c r="WLV42" s="223"/>
      <c r="WLW42" s="224"/>
      <c r="WLX42" s="223"/>
      <c r="WLY42" s="223"/>
      <c r="WLZ42" s="223"/>
      <c r="WMA42" s="223"/>
      <c r="WMB42" s="225"/>
      <c r="WMC42" s="220"/>
      <c r="WMD42" s="221"/>
      <c r="WME42" s="222"/>
      <c r="WMF42" s="222"/>
      <c r="WMG42" s="223"/>
      <c r="WMH42" s="223"/>
      <c r="WMI42" s="224"/>
      <c r="WMJ42" s="223"/>
      <c r="WMK42" s="223"/>
      <c r="WML42" s="223"/>
      <c r="WMM42" s="223"/>
      <c r="WMN42" s="225"/>
      <c r="WMO42" s="220"/>
      <c r="WMP42" s="221"/>
      <c r="WMQ42" s="222"/>
      <c r="WMR42" s="222"/>
      <c r="WMS42" s="223"/>
      <c r="WMT42" s="223"/>
      <c r="WMU42" s="224"/>
      <c r="WMV42" s="223"/>
      <c r="WMW42" s="223"/>
      <c r="WMX42" s="223"/>
      <c r="WMY42" s="223"/>
      <c r="WMZ42" s="225"/>
      <c r="WNA42" s="220"/>
      <c r="WNB42" s="221"/>
      <c r="WNC42" s="222"/>
      <c r="WND42" s="222"/>
      <c r="WNE42" s="223"/>
      <c r="WNF42" s="223"/>
      <c r="WNG42" s="224"/>
      <c r="WNH42" s="223"/>
      <c r="WNI42" s="223"/>
      <c r="WNJ42" s="223"/>
      <c r="WNK42" s="223"/>
      <c r="WNL42" s="225"/>
      <c r="WNM42" s="220"/>
      <c r="WNN42" s="221"/>
      <c r="WNO42" s="222"/>
      <c r="WNP42" s="222"/>
      <c r="WNQ42" s="223"/>
      <c r="WNR42" s="223"/>
      <c r="WNS42" s="224"/>
      <c r="WNT42" s="223"/>
      <c r="WNU42" s="223"/>
      <c r="WNV42" s="223"/>
      <c r="WNW42" s="223"/>
      <c r="WNX42" s="225"/>
      <c r="WNY42" s="220"/>
      <c r="WNZ42" s="221"/>
      <c r="WOA42" s="222"/>
      <c r="WOB42" s="222"/>
      <c r="WOC42" s="223"/>
      <c r="WOD42" s="223"/>
      <c r="WOE42" s="224"/>
      <c r="WOF42" s="223"/>
      <c r="WOG42" s="223"/>
      <c r="WOH42" s="223"/>
      <c r="WOI42" s="223"/>
      <c r="WOJ42" s="225"/>
      <c r="WOK42" s="220"/>
      <c r="WOL42" s="221"/>
      <c r="WOM42" s="222"/>
      <c r="WON42" s="222"/>
      <c r="WOO42" s="223"/>
      <c r="WOP42" s="223"/>
      <c r="WOQ42" s="224"/>
      <c r="WOR42" s="223"/>
      <c r="WOS42" s="223"/>
      <c r="WOT42" s="223"/>
      <c r="WOU42" s="223"/>
      <c r="WOV42" s="225"/>
      <c r="WOW42" s="220"/>
      <c r="WOX42" s="221"/>
      <c r="WOY42" s="222"/>
      <c r="WOZ42" s="222"/>
      <c r="WPA42" s="223"/>
      <c r="WPB42" s="223"/>
      <c r="WPC42" s="224"/>
      <c r="WPD42" s="223"/>
      <c r="WPE42" s="223"/>
      <c r="WPF42" s="223"/>
      <c r="WPG42" s="223"/>
      <c r="WPH42" s="225"/>
      <c r="WPI42" s="220"/>
      <c r="WPJ42" s="221"/>
      <c r="WPK42" s="222"/>
      <c r="WPL42" s="222"/>
      <c r="WPM42" s="223"/>
      <c r="WPN42" s="223"/>
      <c r="WPO42" s="224"/>
      <c r="WPP42" s="223"/>
      <c r="WPQ42" s="223"/>
      <c r="WPR42" s="223"/>
      <c r="WPS42" s="223"/>
      <c r="WPT42" s="225"/>
      <c r="WPU42" s="220"/>
      <c r="WPV42" s="221"/>
      <c r="WPW42" s="222"/>
      <c r="WPX42" s="222"/>
      <c r="WPY42" s="223"/>
      <c r="WPZ42" s="223"/>
      <c r="WQA42" s="224"/>
      <c r="WQB42" s="223"/>
      <c r="WQC42" s="223"/>
      <c r="WQD42" s="223"/>
      <c r="WQE42" s="223"/>
      <c r="WQF42" s="225"/>
      <c r="WQG42" s="220"/>
      <c r="WQH42" s="221"/>
      <c r="WQI42" s="222"/>
      <c r="WQJ42" s="222"/>
      <c r="WQK42" s="223"/>
      <c r="WQL42" s="223"/>
      <c r="WQM42" s="224"/>
      <c r="WQN42" s="223"/>
      <c r="WQO42" s="223"/>
      <c r="WQP42" s="223"/>
      <c r="WQQ42" s="223"/>
      <c r="WQR42" s="225"/>
      <c r="WQS42" s="220"/>
      <c r="WQT42" s="221"/>
      <c r="WQU42" s="222"/>
      <c r="WQV42" s="222"/>
      <c r="WQW42" s="223"/>
      <c r="WQX42" s="223"/>
      <c r="WQY42" s="224"/>
      <c r="WQZ42" s="223"/>
      <c r="WRA42" s="223"/>
      <c r="WRB42" s="223"/>
      <c r="WRC42" s="223"/>
      <c r="WRD42" s="225"/>
      <c r="WRE42" s="220"/>
      <c r="WRF42" s="221"/>
      <c r="WRG42" s="222"/>
      <c r="WRH42" s="222"/>
      <c r="WRI42" s="223"/>
      <c r="WRJ42" s="223"/>
      <c r="WRK42" s="224"/>
      <c r="WRL42" s="223"/>
      <c r="WRM42" s="223"/>
      <c r="WRN42" s="223"/>
      <c r="WRO42" s="223"/>
      <c r="WRP42" s="225"/>
      <c r="WRQ42" s="220"/>
      <c r="WRR42" s="221"/>
      <c r="WRS42" s="222"/>
      <c r="WRT42" s="222"/>
      <c r="WRU42" s="223"/>
      <c r="WRV42" s="223"/>
      <c r="WRW42" s="224"/>
      <c r="WRX42" s="223"/>
      <c r="WRY42" s="223"/>
      <c r="WRZ42" s="223"/>
      <c r="WSA42" s="223"/>
      <c r="WSB42" s="225"/>
      <c r="WSC42" s="220"/>
      <c r="WSD42" s="221"/>
      <c r="WSE42" s="222"/>
      <c r="WSF42" s="222"/>
      <c r="WSG42" s="223"/>
      <c r="WSH42" s="223"/>
      <c r="WSI42" s="224"/>
      <c r="WSJ42" s="223"/>
      <c r="WSK42" s="223"/>
      <c r="WSL42" s="223"/>
      <c r="WSM42" s="223"/>
      <c r="WSN42" s="225"/>
      <c r="WSO42" s="220"/>
      <c r="WSP42" s="221"/>
      <c r="WSQ42" s="222"/>
      <c r="WSR42" s="222"/>
      <c r="WSS42" s="223"/>
      <c r="WST42" s="223"/>
      <c r="WSU42" s="224"/>
      <c r="WSV42" s="223"/>
      <c r="WSW42" s="223"/>
      <c r="WSX42" s="223"/>
      <c r="WSY42" s="223"/>
      <c r="WSZ42" s="225"/>
      <c r="WTA42" s="220"/>
      <c r="WTB42" s="221"/>
      <c r="WTC42" s="222"/>
      <c r="WTD42" s="222"/>
      <c r="WTE42" s="223"/>
      <c r="WTF42" s="223"/>
      <c r="WTG42" s="224"/>
      <c r="WTH42" s="223"/>
      <c r="WTI42" s="223"/>
      <c r="WTJ42" s="223"/>
      <c r="WTK42" s="223"/>
      <c r="WTL42" s="225"/>
      <c r="WTM42" s="220"/>
      <c r="WTN42" s="221"/>
      <c r="WTO42" s="222"/>
      <c r="WTP42" s="222"/>
      <c r="WTQ42" s="223"/>
      <c r="WTR42" s="223"/>
      <c r="WTS42" s="224"/>
      <c r="WTT42" s="223"/>
      <c r="WTU42" s="223"/>
      <c r="WTV42" s="223"/>
      <c r="WTW42" s="223"/>
      <c r="WTX42" s="225"/>
      <c r="WTY42" s="220"/>
      <c r="WTZ42" s="221"/>
      <c r="WUA42" s="222"/>
      <c r="WUB42" s="222"/>
      <c r="WUC42" s="223"/>
      <c r="WUD42" s="223"/>
      <c r="WUE42" s="224"/>
      <c r="WUF42" s="223"/>
      <c r="WUG42" s="223"/>
      <c r="WUH42" s="223"/>
      <c r="WUI42" s="223"/>
      <c r="WUJ42" s="225"/>
      <c r="WUK42" s="220"/>
      <c r="WUL42" s="221"/>
      <c r="WUM42" s="222"/>
      <c r="WUN42" s="222"/>
      <c r="WUO42" s="223"/>
      <c r="WUP42" s="223"/>
      <c r="WUQ42" s="224"/>
      <c r="WUR42" s="223"/>
      <c r="WUS42" s="223"/>
      <c r="WUT42" s="223"/>
      <c r="WUU42" s="223"/>
      <c r="WUV42" s="225"/>
      <c r="WUW42" s="220"/>
      <c r="WUX42" s="221"/>
      <c r="WUY42" s="222"/>
      <c r="WUZ42" s="222"/>
      <c r="WVA42" s="223"/>
      <c r="WVB42" s="223"/>
      <c r="WVC42" s="224"/>
      <c r="WVD42" s="223"/>
      <c r="WVE42" s="223"/>
      <c r="WVF42" s="223"/>
      <c r="WVG42" s="223"/>
      <c r="WVH42" s="225"/>
      <c r="WVI42" s="220"/>
      <c r="WVJ42" s="221"/>
      <c r="WVK42" s="222"/>
      <c r="WVL42" s="222"/>
      <c r="WVM42" s="223"/>
      <c r="WVN42" s="223"/>
      <c r="WVO42" s="224"/>
      <c r="WVP42" s="223"/>
      <c r="WVQ42" s="223"/>
      <c r="WVR42" s="223"/>
      <c r="WVS42" s="223"/>
      <c r="WVT42" s="225"/>
      <c r="WVU42" s="220"/>
      <c r="WVV42" s="221"/>
      <c r="WVW42" s="222"/>
      <c r="WVX42" s="222"/>
      <c r="WVY42" s="223"/>
      <c r="WVZ42" s="223"/>
      <c r="WWA42" s="224"/>
      <c r="WWB42" s="223"/>
      <c r="WWC42" s="223"/>
      <c r="WWD42" s="223"/>
      <c r="WWE42" s="223"/>
      <c r="WWF42" s="225"/>
      <c r="WWG42" s="220"/>
      <c r="WWH42" s="221"/>
      <c r="WWI42" s="222"/>
      <c r="WWJ42" s="222"/>
      <c r="WWK42" s="223"/>
      <c r="WWL42" s="223"/>
      <c r="WWM42" s="224"/>
      <c r="WWN42" s="223"/>
      <c r="WWO42" s="223"/>
      <c r="WWP42" s="223"/>
      <c r="WWQ42" s="223"/>
      <c r="WWR42" s="225"/>
      <c r="WWS42" s="220"/>
      <c r="WWT42" s="221"/>
      <c r="WWU42" s="222"/>
      <c r="WWV42" s="222"/>
      <c r="WWW42" s="223"/>
      <c r="WWX42" s="223"/>
      <c r="WWY42" s="224"/>
      <c r="WWZ42" s="223"/>
      <c r="WXA42" s="223"/>
      <c r="WXB42" s="223"/>
      <c r="WXC42" s="223"/>
      <c r="WXD42" s="225"/>
      <c r="WXE42" s="220"/>
      <c r="WXF42" s="221"/>
      <c r="WXG42" s="222"/>
      <c r="WXH42" s="222"/>
      <c r="WXI42" s="223"/>
      <c r="WXJ42" s="223"/>
      <c r="WXK42" s="224"/>
      <c r="WXL42" s="223"/>
      <c r="WXM42" s="223"/>
      <c r="WXN42" s="223"/>
      <c r="WXO42" s="223"/>
      <c r="WXP42" s="225"/>
      <c r="WXQ42" s="220"/>
      <c r="WXR42" s="221"/>
      <c r="WXS42" s="222"/>
      <c r="WXT42" s="222"/>
      <c r="WXU42" s="223"/>
      <c r="WXV42" s="223"/>
      <c r="WXW42" s="224"/>
      <c r="WXX42" s="223"/>
      <c r="WXY42" s="223"/>
      <c r="WXZ42" s="223"/>
      <c r="WYA42" s="223"/>
      <c r="WYB42" s="225"/>
      <c r="WYC42" s="220"/>
      <c r="WYD42" s="221"/>
      <c r="WYE42" s="222"/>
      <c r="WYF42" s="222"/>
      <c r="WYG42" s="223"/>
      <c r="WYH42" s="223"/>
      <c r="WYI42" s="224"/>
      <c r="WYJ42" s="223"/>
      <c r="WYK42" s="223"/>
      <c r="WYL42" s="223"/>
      <c r="WYM42" s="223"/>
      <c r="WYN42" s="225"/>
      <c r="WYO42" s="220"/>
      <c r="WYP42" s="221"/>
      <c r="WYQ42" s="222"/>
      <c r="WYR42" s="222"/>
      <c r="WYS42" s="223"/>
      <c r="WYT42" s="223"/>
      <c r="WYU42" s="224"/>
      <c r="WYV42" s="223"/>
      <c r="WYW42" s="223"/>
      <c r="WYX42" s="223"/>
      <c r="WYY42" s="223"/>
      <c r="WYZ42" s="225"/>
      <c r="WZA42" s="220"/>
      <c r="WZB42" s="221"/>
      <c r="WZC42" s="222"/>
      <c r="WZD42" s="222"/>
      <c r="WZE42" s="223"/>
      <c r="WZF42" s="223"/>
      <c r="WZG42" s="224"/>
      <c r="WZH42" s="223"/>
      <c r="WZI42" s="223"/>
      <c r="WZJ42" s="223"/>
      <c r="WZK42" s="223"/>
      <c r="WZL42" s="225"/>
      <c r="WZM42" s="220"/>
      <c r="WZN42" s="221"/>
      <c r="WZO42" s="222"/>
      <c r="WZP42" s="222"/>
      <c r="WZQ42" s="223"/>
      <c r="WZR42" s="223"/>
      <c r="WZS42" s="224"/>
      <c r="WZT42" s="223"/>
      <c r="WZU42" s="223"/>
      <c r="WZV42" s="223"/>
      <c r="WZW42" s="223"/>
      <c r="WZX42" s="225"/>
      <c r="WZY42" s="220"/>
      <c r="WZZ42" s="221"/>
      <c r="XAA42" s="222"/>
      <c r="XAB42" s="222"/>
      <c r="XAC42" s="223"/>
      <c r="XAD42" s="223"/>
      <c r="XAE42" s="224"/>
      <c r="XAF42" s="223"/>
      <c r="XAG42" s="223"/>
      <c r="XAH42" s="223"/>
      <c r="XAI42" s="223"/>
      <c r="XAJ42" s="225"/>
      <c r="XAK42" s="220"/>
      <c r="XAL42" s="221"/>
      <c r="XAM42" s="222"/>
      <c r="XAN42" s="222"/>
      <c r="XAO42" s="223"/>
      <c r="XAP42" s="223"/>
      <c r="XAQ42" s="224"/>
      <c r="XAR42" s="223"/>
      <c r="XAS42" s="223"/>
      <c r="XAT42" s="223"/>
      <c r="XAU42" s="223"/>
      <c r="XAV42" s="225"/>
      <c r="XAW42" s="220"/>
      <c r="XAX42" s="221"/>
      <c r="XAY42" s="222"/>
      <c r="XAZ42" s="222"/>
      <c r="XBA42" s="223"/>
      <c r="XBB42" s="223"/>
      <c r="XBC42" s="224"/>
      <c r="XBD42" s="223"/>
      <c r="XBE42" s="223"/>
      <c r="XBF42" s="223"/>
      <c r="XBG42" s="223"/>
      <c r="XBH42" s="225"/>
      <c r="XBI42" s="220"/>
      <c r="XBJ42" s="221"/>
      <c r="XBK42" s="222"/>
      <c r="XBL42" s="222"/>
      <c r="XBM42" s="223"/>
      <c r="XBN42" s="223"/>
      <c r="XBO42" s="224"/>
      <c r="XBP42" s="223"/>
      <c r="XBQ42" s="223"/>
      <c r="XBR42" s="223"/>
      <c r="XBS42" s="223"/>
      <c r="XBT42" s="225"/>
      <c r="XBU42" s="220"/>
      <c r="XBV42" s="221"/>
      <c r="XBW42" s="222"/>
      <c r="XBX42" s="222"/>
      <c r="XBY42" s="223"/>
      <c r="XBZ42" s="223"/>
      <c r="XCA42" s="224"/>
      <c r="XCB42" s="223"/>
      <c r="XCC42" s="223"/>
      <c r="XCD42" s="223"/>
      <c r="XCE42" s="223"/>
      <c r="XCF42" s="225"/>
      <c r="XCG42" s="220"/>
      <c r="XCH42" s="221"/>
      <c r="XCI42" s="222"/>
      <c r="XCJ42" s="222"/>
      <c r="XCK42" s="223"/>
      <c r="XCL42" s="223"/>
      <c r="XCM42" s="224"/>
      <c r="XCN42" s="223"/>
      <c r="XCO42" s="223"/>
      <c r="XCP42" s="223"/>
      <c r="XCQ42" s="223"/>
      <c r="XCR42" s="225"/>
      <c r="XCS42" s="220"/>
      <c r="XCT42" s="221"/>
      <c r="XCU42" s="222"/>
      <c r="XCV42" s="222"/>
      <c r="XCW42" s="223"/>
      <c r="XCX42" s="223"/>
      <c r="XCY42" s="224"/>
      <c r="XCZ42" s="223"/>
      <c r="XDA42" s="223"/>
      <c r="XDB42" s="223"/>
      <c r="XDC42" s="223"/>
      <c r="XDD42" s="225"/>
      <c r="XDE42" s="220"/>
      <c r="XDF42" s="221"/>
      <c r="XDG42" s="222"/>
      <c r="XDH42" s="222"/>
      <c r="XDI42" s="223"/>
      <c r="XDJ42" s="223"/>
      <c r="XDK42" s="224"/>
      <c r="XDL42" s="223"/>
      <c r="XDM42" s="223"/>
      <c r="XDN42" s="223"/>
      <c r="XDO42" s="223"/>
      <c r="XDP42" s="225"/>
      <c r="XDQ42" s="220"/>
      <c r="XDR42" s="221"/>
      <c r="XDS42" s="222"/>
      <c r="XDT42" s="222"/>
      <c r="XDU42" s="223"/>
      <c r="XDV42" s="223"/>
      <c r="XDW42" s="224"/>
      <c r="XDX42" s="223"/>
      <c r="XDY42" s="223"/>
      <c r="XDZ42" s="223"/>
      <c r="XEA42" s="223"/>
      <c r="XEB42" s="225"/>
      <c r="XEC42" s="220"/>
      <c r="XED42" s="221"/>
      <c r="XEE42" s="222"/>
      <c r="XEF42" s="222"/>
      <c r="XEG42" s="223"/>
      <c r="XEH42" s="223"/>
      <c r="XEI42" s="224"/>
      <c r="XEJ42" s="223"/>
      <c r="XEK42" s="223"/>
      <c r="XEL42" s="223"/>
      <c r="XEM42" s="223"/>
      <c r="XEN42" s="225"/>
      <c r="XEO42" s="220"/>
      <c r="XEP42" s="221"/>
      <c r="XEQ42" s="222"/>
      <c r="XER42" s="222"/>
      <c r="XES42" s="223"/>
      <c r="XET42" s="223"/>
      <c r="XEU42" s="224"/>
      <c r="XEV42" s="223"/>
      <c r="XEW42" s="223"/>
      <c r="XEX42" s="223"/>
      <c r="XEY42" s="223"/>
      <c r="XEZ42" s="225"/>
      <c r="XFA42" s="220"/>
      <c r="XFB42" s="221"/>
      <c r="XFC42" s="222"/>
      <c r="XFD42" s="222"/>
    </row>
    <row r="43" spans="1:16384" s="158" customFormat="1" ht="27.75" customHeight="1" x14ac:dyDescent="0.3">
      <c r="A43" s="194">
        <v>5</v>
      </c>
      <c r="B43" s="137" t="s">
        <v>478</v>
      </c>
      <c r="C43" s="134" t="s">
        <v>33</v>
      </c>
      <c r="D43" s="79"/>
      <c r="E43" s="81">
        <f>846.9</f>
        <v>846.9</v>
      </c>
      <c r="F43" s="271"/>
      <c r="G43" s="56"/>
      <c r="H43" s="58"/>
      <c r="I43" s="58"/>
      <c r="J43" s="58"/>
      <c r="K43" s="58"/>
      <c r="L43" s="57"/>
    </row>
    <row r="44" spans="1:16384" s="158" customFormat="1" ht="13.8" x14ac:dyDescent="0.3">
      <c r="A44" s="78"/>
      <c r="B44" s="24" t="s">
        <v>8</v>
      </c>
      <c r="C44" s="79" t="s">
        <v>33</v>
      </c>
      <c r="D44" s="79">
        <v>1</v>
      </c>
      <c r="E44" s="58"/>
      <c r="F44" s="271"/>
      <c r="G44" s="56"/>
      <c r="H44" s="58"/>
      <c r="I44" s="58"/>
      <c r="J44" s="58"/>
      <c r="K44" s="58"/>
      <c r="L44" s="57"/>
    </row>
    <row r="45" spans="1:16384" s="158" customFormat="1" ht="13.8" x14ac:dyDescent="0.3">
      <c r="A45" s="78"/>
      <c r="B45" s="24" t="s">
        <v>12</v>
      </c>
      <c r="C45" s="79"/>
      <c r="D45" s="79"/>
      <c r="E45" s="58"/>
      <c r="F45" s="271"/>
      <c r="G45" s="56"/>
      <c r="H45" s="58"/>
      <c r="I45" s="58"/>
      <c r="J45" s="58"/>
      <c r="K45" s="58"/>
      <c r="L45" s="57"/>
    </row>
    <row r="46" spans="1:16384" s="158" customFormat="1" ht="13.8" x14ac:dyDescent="0.3">
      <c r="A46" s="78"/>
      <c r="B46" s="24" t="s">
        <v>260</v>
      </c>
      <c r="C46" s="79" t="s">
        <v>244</v>
      </c>
      <c r="D46" s="79">
        <v>0.3</v>
      </c>
      <c r="E46" s="58"/>
      <c r="F46" s="271"/>
      <c r="G46" s="56"/>
      <c r="H46" s="58"/>
      <c r="I46" s="58"/>
      <c r="J46" s="58"/>
      <c r="K46" s="58"/>
      <c r="L46" s="57"/>
    </row>
    <row r="47" spans="1:16384" s="158" customFormat="1" thickBot="1" x14ac:dyDescent="0.35">
      <c r="A47" s="198"/>
      <c r="B47" s="98" t="s">
        <v>14</v>
      </c>
      <c r="C47" s="141" t="s">
        <v>15</v>
      </c>
      <c r="D47" s="79">
        <v>0.104</v>
      </c>
      <c r="E47" s="58"/>
      <c r="F47" s="271"/>
      <c r="G47" s="56"/>
      <c r="H47" s="58"/>
      <c r="I47" s="58"/>
      <c r="J47" s="58"/>
      <c r="K47" s="58"/>
      <c r="L47" s="57"/>
    </row>
    <row r="48" spans="1:16384" s="226" customFormat="1" ht="15" thickBot="1" x14ac:dyDescent="0.35">
      <c r="A48" s="220"/>
      <c r="B48" s="227" t="s">
        <v>261</v>
      </c>
      <c r="C48" s="222"/>
      <c r="D48" s="222"/>
      <c r="E48" s="223"/>
      <c r="F48" s="223"/>
      <c r="G48" s="224"/>
      <c r="H48" s="223"/>
      <c r="I48" s="223"/>
      <c r="J48" s="223"/>
      <c r="K48" s="223"/>
      <c r="L48" s="225"/>
      <c r="M48" s="605"/>
      <c r="N48" s="620"/>
      <c r="O48" s="319"/>
      <c r="P48" s="307"/>
      <c r="Q48" s="309"/>
      <c r="R48" s="320"/>
      <c r="S48" s="321"/>
      <c r="T48" s="320"/>
      <c r="U48" s="320"/>
      <c r="V48" s="320"/>
      <c r="W48" s="320"/>
      <c r="X48" s="321"/>
      <c r="Y48" s="319"/>
      <c r="Z48" s="620"/>
      <c r="AA48" s="319"/>
      <c r="AB48" s="319"/>
      <c r="AC48" s="320"/>
      <c r="AD48" s="320"/>
      <c r="AE48" s="321"/>
      <c r="AF48" s="320"/>
      <c r="AG48" s="320"/>
      <c r="AH48" s="320"/>
      <c r="AI48" s="320"/>
      <c r="AJ48" s="321"/>
      <c r="AK48" s="319"/>
      <c r="AL48" s="620"/>
      <c r="AM48" s="319"/>
      <c r="AN48" s="319"/>
      <c r="AO48" s="320"/>
      <c r="AP48" s="320"/>
      <c r="AQ48" s="621"/>
      <c r="AR48" s="434"/>
      <c r="AS48" s="434"/>
      <c r="AT48" s="434"/>
      <c r="AU48" s="434"/>
      <c r="AV48" s="622"/>
      <c r="AW48" s="623"/>
      <c r="AX48" s="624"/>
      <c r="AY48" s="625"/>
      <c r="AZ48" s="625"/>
      <c r="BA48" s="434"/>
      <c r="BB48" s="434"/>
      <c r="BC48" s="626"/>
      <c r="BD48" s="434"/>
      <c r="BE48" s="434"/>
      <c r="BF48" s="434"/>
      <c r="BG48" s="434"/>
      <c r="BH48" s="622"/>
      <c r="BI48" s="623"/>
      <c r="BJ48" s="624"/>
      <c r="BK48" s="625"/>
      <c r="BL48" s="625"/>
      <c r="BM48" s="434"/>
      <c r="BN48" s="434"/>
      <c r="BO48" s="626"/>
      <c r="BP48" s="434"/>
      <c r="BQ48" s="434"/>
      <c r="BR48" s="434"/>
      <c r="BS48" s="434"/>
      <c r="BT48" s="622"/>
      <c r="BU48" s="623"/>
      <c r="BV48" s="624"/>
      <c r="BW48" s="222"/>
      <c r="BX48" s="222"/>
      <c r="BY48" s="223"/>
      <c r="BZ48" s="223"/>
      <c r="CA48" s="224"/>
      <c r="CB48" s="223"/>
      <c r="CC48" s="223"/>
      <c r="CD48" s="223"/>
      <c r="CE48" s="223"/>
      <c r="CF48" s="225"/>
      <c r="CG48" s="220"/>
      <c r="CH48" s="221"/>
      <c r="CI48" s="222"/>
      <c r="CJ48" s="222"/>
      <c r="CK48" s="223"/>
      <c r="CL48" s="223"/>
      <c r="CM48" s="224"/>
      <c r="CN48" s="223"/>
      <c r="CO48" s="223"/>
      <c r="CP48" s="223"/>
      <c r="CQ48" s="223"/>
      <c r="CR48" s="225"/>
      <c r="CS48" s="220"/>
      <c r="CT48" s="221"/>
      <c r="CU48" s="222"/>
      <c r="CV48" s="222"/>
      <c r="CW48" s="223"/>
      <c r="CX48" s="223"/>
      <c r="CY48" s="224"/>
      <c r="CZ48" s="223"/>
      <c r="DA48" s="223"/>
      <c r="DB48" s="223"/>
      <c r="DC48" s="223"/>
      <c r="DD48" s="225"/>
      <c r="DE48" s="220"/>
      <c r="DF48" s="221"/>
      <c r="DG48" s="222"/>
      <c r="DH48" s="222"/>
      <c r="DI48" s="223"/>
      <c r="DJ48" s="223"/>
      <c r="DK48" s="224"/>
      <c r="DL48" s="223"/>
      <c r="DM48" s="223"/>
      <c r="DN48" s="223"/>
      <c r="DO48" s="223"/>
      <c r="DP48" s="225"/>
      <c r="DQ48" s="220"/>
      <c r="DR48" s="221"/>
      <c r="DS48" s="222"/>
      <c r="DT48" s="222"/>
      <c r="DU48" s="223"/>
      <c r="DV48" s="223"/>
      <c r="DW48" s="224"/>
      <c r="DX48" s="223"/>
      <c r="DY48" s="223"/>
      <c r="DZ48" s="223"/>
      <c r="EA48" s="223"/>
      <c r="EB48" s="225"/>
      <c r="EC48" s="220"/>
      <c r="ED48" s="221"/>
      <c r="EE48" s="222"/>
      <c r="EF48" s="222"/>
      <c r="EG48" s="223"/>
      <c r="EH48" s="223"/>
      <c r="EI48" s="224"/>
      <c r="EJ48" s="223"/>
      <c r="EK48" s="223"/>
      <c r="EL48" s="223"/>
      <c r="EM48" s="223"/>
      <c r="EN48" s="225"/>
      <c r="EO48" s="220"/>
      <c r="EP48" s="221"/>
      <c r="EQ48" s="222"/>
      <c r="ER48" s="222"/>
      <c r="ES48" s="223"/>
      <c r="ET48" s="223"/>
      <c r="EU48" s="224"/>
      <c r="EV48" s="223"/>
      <c r="EW48" s="223"/>
      <c r="EX48" s="223"/>
      <c r="EY48" s="223"/>
      <c r="EZ48" s="225"/>
      <c r="FA48" s="220"/>
      <c r="FB48" s="221"/>
      <c r="FC48" s="222"/>
      <c r="FD48" s="222"/>
      <c r="FE48" s="223"/>
      <c r="FF48" s="223"/>
      <c r="FG48" s="224"/>
      <c r="FH48" s="223"/>
      <c r="FI48" s="223"/>
      <c r="FJ48" s="223"/>
      <c r="FK48" s="223"/>
      <c r="FL48" s="225"/>
      <c r="FM48" s="220"/>
      <c r="FN48" s="221"/>
      <c r="FO48" s="222"/>
      <c r="FP48" s="222"/>
      <c r="FQ48" s="223"/>
      <c r="FR48" s="223"/>
      <c r="FS48" s="224"/>
      <c r="FT48" s="223"/>
      <c r="FU48" s="223"/>
      <c r="FV48" s="223"/>
      <c r="FW48" s="223"/>
      <c r="FX48" s="225"/>
      <c r="FY48" s="220"/>
      <c r="FZ48" s="221"/>
      <c r="GA48" s="222"/>
      <c r="GB48" s="222"/>
      <c r="GC48" s="223"/>
      <c r="GD48" s="223"/>
      <c r="GE48" s="224"/>
      <c r="GF48" s="223"/>
      <c r="GG48" s="223"/>
      <c r="GH48" s="223"/>
      <c r="GI48" s="223"/>
      <c r="GJ48" s="225"/>
      <c r="GK48" s="220"/>
      <c r="GL48" s="221"/>
      <c r="GM48" s="222"/>
      <c r="GN48" s="222"/>
      <c r="GO48" s="223"/>
      <c r="GP48" s="223"/>
      <c r="GQ48" s="224"/>
      <c r="GR48" s="223"/>
      <c r="GS48" s="223"/>
      <c r="GT48" s="223"/>
      <c r="GU48" s="223"/>
      <c r="GV48" s="225"/>
      <c r="GW48" s="220"/>
      <c r="GX48" s="221"/>
      <c r="GY48" s="222"/>
      <c r="GZ48" s="222"/>
      <c r="HA48" s="223"/>
      <c r="HB48" s="223"/>
      <c r="HC48" s="224"/>
      <c r="HD48" s="223"/>
      <c r="HE48" s="223"/>
      <c r="HF48" s="223"/>
      <c r="HG48" s="223"/>
      <c r="HH48" s="225"/>
      <c r="HI48" s="220"/>
      <c r="HJ48" s="221"/>
      <c r="HK48" s="222"/>
      <c r="HL48" s="222"/>
      <c r="HM48" s="223"/>
      <c r="HN48" s="223"/>
      <c r="HO48" s="224"/>
      <c r="HP48" s="223"/>
      <c r="HQ48" s="223"/>
      <c r="HR48" s="223"/>
      <c r="HS48" s="223"/>
      <c r="HT48" s="225"/>
      <c r="HU48" s="220"/>
      <c r="HV48" s="221"/>
      <c r="HW48" s="222"/>
      <c r="HX48" s="222"/>
      <c r="HY48" s="223"/>
      <c r="HZ48" s="223"/>
      <c r="IA48" s="224"/>
      <c r="IB48" s="223"/>
      <c r="IC48" s="223"/>
      <c r="ID48" s="223"/>
      <c r="IE48" s="223"/>
      <c r="IF48" s="225"/>
      <c r="IG48" s="220"/>
      <c r="IH48" s="221"/>
      <c r="II48" s="222"/>
      <c r="IJ48" s="222"/>
      <c r="IK48" s="223"/>
      <c r="IL48" s="223"/>
      <c r="IM48" s="224"/>
      <c r="IN48" s="223"/>
      <c r="IO48" s="223"/>
      <c r="IP48" s="223"/>
      <c r="IQ48" s="223"/>
      <c r="IR48" s="225"/>
      <c r="IS48" s="220"/>
      <c r="IT48" s="221"/>
      <c r="IU48" s="222"/>
      <c r="IV48" s="222"/>
      <c r="IW48" s="223"/>
      <c r="IX48" s="223"/>
      <c r="IY48" s="224"/>
      <c r="IZ48" s="223"/>
      <c r="JA48" s="223"/>
      <c r="JB48" s="223"/>
      <c r="JC48" s="223"/>
      <c r="JD48" s="225"/>
      <c r="JE48" s="220"/>
      <c r="JF48" s="221"/>
      <c r="JG48" s="222"/>
      <c r="JH48" s="222"/>
      <c r="JI48" s="223"/>
      <c r="JJ48" s="223"/>
      <c r="JK48" s="224"/>
      <c r="JL48" s="223"/>
      <c r="JM48" s="223"/>
      <c r="JN48" s="223"/>
      <c r="JO48" s="223"/>
      <c r="JP48" s="225"/>
      <c r="JQ48" s="220"/>
      <c r="JR48" s="221"/>
      <c r="JS48" s="222"/>
      <c r="JT48" s="222"/>
      <c r="JU48" s="223"/>
      <c r="JV48" s="223"/>
      <c r="JW48" s="224"/>
      <c r="JX48" s="223"/>
      <c r="JY48" s="223"/>
      <c r="JZ48" s="223"/>
      <c r="KA48" s="223"/>
      <c r="KB48" s="225"/>
      <c r="KC48" s="220"/>
      <c r="KD48" s="221"/>
      <c r="KE48" s="222"/>
      <c r="KF48" s="222"/>
      <c r="KG48" s="223"/>
      <c r="KH48" s="223"/>
      <c r="KI48" s="224"/>
      <c r="KJ48" s="223"/>
      <c r="KK48" s="223"/>
      <c r="KL48" s="223"/>
      <c r="KM48" s="223"/>
      <c r="KN48" s="225"/>
      <c r="KO48" s="220"/>
      <c r="KP48" s="221"/>
      <c r="KQ48" s="222"/>
      <c r="KR48" s="222"/>
      <c r="KS48" s="223"/>
      <c r="KT48" s="223"/>
      <c r="KU48" s="224"/>
      <c r="KV48" s="223"/>
      <c r="KW48" s="223"/>
      <c r="KX48" s="223"/>
      <c r="KY48" s="223"/>
      <c r="KZ48" s="225"/>
      <c r="LA48" s="220"/>
      <c r="LB48" s="221"/>
      <c r="LC48" s="222"/>
      <c r="LD48" s="222"/>
      <c r="LE48" s="223"/>
      <c r="LF48" s="223"/>
      <c r="LG48" s="224"/>
      <c r="LH48" s="223"/>
      <c r="LI48" s="223"/>
      <c r="LJ48" s="223"/>
      <c r="LK48" s="223"/>
      <c r="LL48" s="225"/>
      <c r="LM48" s="220"/>
      <c r="LN48" s="221"/>
      <c r="LO48" s="222"/>
      <c r="LP48" s="222"/>
      <c r="LQ48" s="223"/>
      <c r="LR48" s="223"/>
      <c r="LS48" s="224"/>
      <c r="LT48" s="223"/>
      <c r="LU48" s="223"/>
      <c r="LV48" s="223"/>
      <c r="LW48" s="223"/>
      <c r="LX48" s="225"/>
      <c r="LY48" s="220"/>
      <c r="LZ48" s="221"/>
      <c r="MA48" s="222"/>
      <c r="MB48" s="222"/>
      <c r="MC48" s="223"/>
      <c r="MD48" s="223"/>
      <c r="ME48" s="224"/>
      <c r="MF48" s="223"/>
      <c r="MG48" s="223"/>
      <c r="MH48" s="223"/>
      <c r="MI48" s="223"/>
      <c r="MJ48" s="225"/>
      <c r="MK48" s="220"/>
      <c r="ML48" s="221"/>
      <c r="MM48" s="222"/>
      <c r="MN48" s="222"/>
      <c r="MO48" s="223"/>
      <c r="MP48" s="223"/>
      <c r="MQ48" s="224"/>
      <c r="MR48" s="223"/>
      <c r="MS48" s="223"/>
      <c r="MT48" s="223"/>
      <c r="MU48" s="223"/>
      <c r="MV48" s="225"/>
      <c r="MW48" s="220"/>
      <c r="MX48" s="221"/>
      <c r="MY48" s="222"/>
      <c r="MZ48" s="222"/>
      <c r="NA48" s="223"/>
      <c r="NB48" s="223"/>
      <c r="NC48" s="224"/>
      <c r="ND48" s="223"/>
      <c r="NE48" s="223"/>
      <c r="NF48" s="223"/>
      <c r="NG48" s="223"/>
      <c r="NH48" s="225"/>
      <c r="NI48" s="220"/>
      <c r="NJ48" s="221"/>
      <c r="NK48" s="222"/>
      <c r="NL48" s="222"/>
      <c r="NM48" s="223"/>
      <c r="NN48" s="223"/>
      <c r="NO48" s="224"/>
      <c r="NP48" s="223"/>
      <c r="NQ48" s="223"/>
      <c r="NR48" s="223"/>
      <c r="NS48" s="223"/>
      <c r="NT48" s="225"/>
      <c r="NU48" s="220"/>
      <c r="NV48" s="221"/>
      <c r="NW48" s="222"/>
      <c r="NX48" s="222"/>
      <c r="NY48" s="223"/>
      <c r="NZ48" s="223"/>
      <c r="OA48" s="224"/>
      <c r="OB48" s="223"/>
      <c r="OC48" s="223"/>
      <c r="OD48" s="223"/>
      <c r="OE48" s="223"/>
      <c r="OF48" s="225"/>
      <c r="OG48" s="220"/>
      <c r="OH48" s="221"/>
      <c r="OI48" s="222"/>
      <c r="OJ48" s="222"/>
      <c r="OK48" s="223"/>
      <c r="OL48" s="223"/>
      <c r="OM48" s="224"/>
      <c r="ON48" s="223"/>
      <c r="OO48" s="223"/>
      <c r="OP48" s="223"/>
      <c r="OQ48" s="223"/>
      <c r="OR48" s="225"/>
      <c r="OS48" s="220"/>
      <c r="OT48" s="221"/>
      <c r="OU48" s="222"/>
      <c r="OV48" s="222"/>
      <c r="OW48" s="223"/>
      <c r="OX48" s="223"/>
      <c r="OY48" s="224"/>
      <c r="OZ48" s="223"/>
      <c r="PA48" s="223"/>
      <c r="PB48" s="223"/>
      <c r="PC48" s="223"/>
      <c r="PD48" s="225"/>
      <c r="PE48" s="220"/>
      <c r="PF48" s="221"/>
      <c r="PG48" s="222"/>
      <c r="PH48" s="222"/>
      <c r="PI48" s="223"/>
      <c r="PJ48" s="223"/>
      <c r="PK48" s="224"/>
      <c r="PL48" s="223"/>
      <c r="PM48" s="223"/>
      <c r="PN48" s="223"/>
      <c r="PO48" s="223"/>
      <c r="PP48" s="225"/>
      <c r="PQ48" s="220"/>
      <c r="PR48" s="221"/>
      <c r="PS48" s="222"/>
      <c r="PT48" s="222"/>
      <c r="PU48" s="223"/>
      <c r="PV48" s="223"/>
      <c r="PW48" s="224"/>
      <c r="PX48" s="223"/>
      <c r="PY48" s="223"/>
      <c r="PZ48" s="223"/>
      <c r="QA48" s="223"/>
      <c r="QB48" s="225"/>
      <c r="QC48" s="220"/>
      <c r="QD48" s="221"/>
      <c r="QE48" s="222"/>
      <c r="QF48" s="222"/>
      <c r="QG48" s="223"/>
      <c r="QH48" s="223"/>
      <c r="QI48" s="224"/>
      <c r="QJ48" s="223"/>
      <c r="QK48" s="223"/>
      <c r="QL48" s="223"/>
      <c r="QM48" s="223"/>
      <c r="QN48" s="225"/>
      <c r="QO48" s="220"/>
      <c r="QP48" s="221"/>
      <c r="QQ48" s="222"/>
      <c r="QR48" s="222"/>
      <c r="QS48" s="223"/>
      <c r="QT48" s="223"/>
      <c r="QU48" s="224"/>
      <c r="QV48" s="223"/>
      <c r="QW48" s="223"/>
      <c r="QX48" s="223"/>
      <c r="QY48" s="223"/>
      <c r="QZ48" s="225"/>
      <c r="RA48" s="220"/>
      <c r="RB48" s="221"/>
      <c r="RC48" s="222"/>
      <c r="RD48" s="222"/>
      <c r="RE48" s="223"/>
      <c r="RF48" s="223"/>
      <c r="RG48" s="224"/>
      <c r="RH48" s="223"/>
      <c r="RI48" s="223"/>
      <c r="RJ48" s="223"/>
      <c r="RK48" s="223"/>
      <c r="RL48" s="225"/>
      <c r="RM48" s="220"/>
      <c r="RN48" s="221"/>
      <c r="RO48" s="222"/>
      <c r="RP48" s="222"/>
      <c r="RQ48" s="223"/>
      <c r="RR48" s="223"/>
      <c r="RS48" s="224"/>
      <c r="RT48" s="223"/>
      <c r="RU48" s="223"/>
      <c r="RV48" s="223"/>
      <c r="RW48" s="223"/>
      <c r="RX48" s="225"/>
      <c r="RY48" s="220"/>
      <c r="RZ48" s="221"/>
      <c r="SA48" s="222"/>
      <c r="SB48" s="222"/>
      <c r="SC48" s="223"/>
      <c r="SD48" s="223"/>
      <c r="SE48" s="224"/>
      <c r="SF48" s="223"/>
      <c r="SG48" s="223"/>
      <c r="SH48" s="223"/>
      <c r="SI48" s="223"/>
      <c r="SJ48" s="225"/>
      <c r="SK48" s="220"/>
      <c r="SL48" s="221"/>
      <c r="SM48" s="222"/>
      <c r="SN48" s="222"/>
      <c r="SO48" s="223"/>
      <c r="SP48" s="223"/>
      <c r="SQ48" s="224"/>
      <c r="SR48" s="223"/>
      <c r="SS48" s="223"/>
      <c r="ST48" s="223"/>
      <c r="SU48" s="223"/>
      <c r="SV48" s="225"/>
      <c r="SW48" s="220"/>
      <c r="SX48" s="221"/>
      <c r="SY48" s="222"/>
      <c r="SZ48" s="222"/>
      <c r="TA48" s="223"/>
      <c r="TB48" s="223"/>
      <c r="TC48" s="224"/>
      <c r="TD48" s="223"/>
      <c r="TE48" s="223"/>
      <c r="TF48" s="223"/>
      <c r="TG48" s="223"/>
      <c r="TH48" s="225"/>
      <c r="TI48" s="220"/>
      <c r="TJ48" s="221"/>
      <c r="TK48" s="222"/>
      <c r="TL48" s="222"/>
      <c r="TM48" s="223"/>
      <c r="TN48" s="223"/>
      <c r="TO48" s="224"/>
      <c r="TP48" s="223"/>
      <c r="TQ48" s="223"/>
      <c r="TR48" s="223"/>
      <c r="TS48" s="223"/>
      <c r="TT48" s="225"/>
      <c r="TU48" s="220"/>
      <c r="TV48" s="221"/>
      <c r="TW48" s="222"/>
      <c r="TX48" s="222"/>
      <c r="TY48" s="223"/>
      <c r="TZ48" s="223"/>
      <c r="UA48" s="224"/>
      <c r="UB48" s="223"/>
      <c r="UC48" s="223"/>
      <c r="UD48" s="223"/>
      <c r="UE48" s="223"/>
      <c r="UF48" s="225"/>
      <c r="UG48" s="220"/>
      <c r="UH48" s="221"/>
      <c r="UI48" s="222"/>
      <c r="UJ48" s="222"/>
      <c r="UK48" s="223"/>
      <c r="UL48" s="223"/>
      <c r="UM48" s="224"/>
      <c r="UN48" s="223"/>
      <c r="UO48" s="223"/>
      <c r="UP48" s="223"/>
      <c r="UQ48" s="223"/>
      <c r="UR48" s="225"/>
      <c r="US48" s="220"/>
      <c r="UT48" s="221"/>
      <c r="UU48" s="222"/>
      <c r="UV48" s="222"/>
      <c r="UW48" s="223"/>
      <c r="UX48" s="223"/>
      <c r="UY48" s="224"/>
      <c r="UZ48" s="223"/>
      <c r="VA48" s="223"/>
      <c r="VB48" s="223"/>
      <c r="VC48" s="223"/>
      <c r="VD48" s="225"/>
      <c r="VE48" s="220"/>
      <c r="VF48" s="221"/>
      <c r="VG48" s="222"/>
      <c r="VH48" s="222"/>
      <c r="VI48" s="223"/>
      <c r="VJ48" s="223"/>
      <c r="VK48" s="224"/>
      <c r="VL48" s="223"/>
      <c r="VM48" s="223"/>
      <c r="VN48" s="223"/>
      <c r="VO48" s="223"/>
      <c r="VP48" s="225"/>
      <c r="VQ48" s="220"/>
      <c r="VR48" s="221"/>
      <c r="VS48" s="222"/>
      <c r="VT48" s="222"/>
      <c r="VU48" s="223"/>
      <c r="VV48" s="223"/>
      <c r="VW48" s="224"/>
      <c r="VX48" s="223"/>
      <c r="VY48" s="223"/>
      <c r="VZ48" s="223"/>
      <c r="WA48" s="223"/>
      <c r="WB48" s="225"/>
      <c r="WC48" s="220"/>
      <c r="WD48" s="221"/>
      <c r="WE48" s="222"/>
      <c r="WF48" s="222"/>
      <c r="WG48" s="223"/>
      <c r="WH48" s="223"/>
      <c r="WI48" s="224"/>
      <c r="WJ48" s="223"/>
      <c r="WK48" s="223"/>
      <c r="WL48" s="223"/>
      <c r="WM48" s="223"/>
      <c r="WN48" s="225"/>
      <c r="WO48" s="220"/>
      <c r="WP48" s="221"/>
      <c r="WQ48" s="222"/>
      <c r="WR48" s="222"/>
      <c r="WS48" s="223"/>
      <c r="WT48" s="223"/>
      <c r="WU48" s="224"/>
      <c r="WV48" s="223"/>
      <c r="WW48" s="223"/>
      <c r="WX48" s="223"/>
      <c r="WY48" s="223"/>
      <c r="WZ48" s="225"/>
      <c r="XA48" s="220"/>
      <c r="XB48" s="221"/>
      <c r="XC48" s="222"/>
      <c r="XD48" s="222"/>
      <c r="XE48" s="223"/>
      <c r="XF48" s="223"/>
      <c r="XG48" s="224"/>
      <c r="XH48" s="223"/>
      <c r="XI48" s="223"/>
      <c r="XJ48" s="223"/>
      <c r="XK48" s="223"/>
      <c r="XL48" s="225"/>
      <c r="XM48" s="220"/>
      <c r="XN48" s="221"/>
      <c r="XO48" s="222"/>
      <c r="XP48" s="222"/>
      <c r="XQ48" s="223"/>
      <c r="XR48" s="223"/>
      <c r="XS48" s="224"/>
      <c r="XT48" s="223"/>
      <c r="XU48" s="223"/>
      <c r="XV48" s="223"/>
      <c r="XW48" s="223"/>
      <c r="XX48" s="225"/>
      <c r="XY48" s="220"/>
      <c r="XZ48" s="221"/>
      <c r="YA48" s="222"/>
      <c r="YB48" s="222"/>
      <c r="YC48" s="223"/>
      <c r="YD48" s="223"/>
      <c r="YE48" s="224"/>
      <c r="YF48" s="223"/>
      <c r="YG48" s="223"/>
      <c r="YH48" s="223"/>
      <c r="YI48" s="223"/>
      <c r="YJ48" s="225"/>
      <c r="YK48" s="220"/>
      <c r="YL48" s="221"/>
      <c r="YM48" s="222"/>
      <c r="YN48" s="222"/>
      <c r="YO48" s="223"/>
      <c r="YP48" s="223"/>
      <c r="YQ48" s="224"/>
      <c r="YR48" s="223"/>
      <c r="YS48" s="223"/>
      <c r="YT48" s="223"/>
      <c r="YU48" s="223"/>
      <c r="YV48" s="225"/>
      <c r="YW48" s="220"/>
      <c r="YX48" s="221"/>
      <c r="YY48" s="222"/>
      <c r="YZ48" s="222"/>
      <c r="ZA48" s="223"/>
      <c r="ZB48" s="223"/>
      <c r="ZC48" s="224"/>
      <c r="ZD48" s="223"/>
      <c r="ZE48" s="223"/>
      <c r="ZF48" s="223"/>
      <c r="ZG48" s="223"/>
      <c r="ZH48" s="225"/>
      <c r="ZI48" s="220"/>
      <c r="ZJ48" s="221"/>
      <c r="ZK48" s="222"/>
      <c r="ZL48" s="222"/>
      <c r="ZM48" s="223"/>
      <c r="ZN48" s="223"/>
      <c r="ZO48" s="224"/>
      <c r="ZP48" s="223"/>
      <c r="ZQ48" s="223"/>
      <c r="ZR48" s="223"/>
      <c r="ZS48" s="223"/>
      <c r="ZT48" s="225"/>
      <c r="ZU48" s="220"/>
      <c r="ZV48" s="221"/>
      <c r="ZW48" s="222"/>
      <c r="ZX48" s="222"/>
      <c r="ZY48" s="223"/>
      <c r="ZZ48" s="223"/>
      <c r="AAA48" s="224"/>
      <c r="AAB48" s="223"/>
      <c r="AAC48" s="223"/>
      <c r="AAD48" s="223"/>
      <c r="AAE48" s="223"/>
      <c r="AAF48" s="225"/>
      <c r="AAG48" s="220"/>
      <c r="AAH48" s="221"/>
      <c r="AAI48" s="222"/>
      <c r="AAJ48" s="222"/>
      <c r="AAK48" s="223"/>
      <c r="AAL48" s="223"/>
      <c r="AAM48" s="224"/>
      <c r="AAN48" s="223"/>
      <c r="AAO48" s="223"/>
      <c r="AAP48" s="223"/>
      <c r="AAQ48" s="223"/>
      <c r="AAR48" s="225"/>
      <c r="AAS48" s="220"/>
      <c r="AAT48" s="221"/>
      <c r="AAU48" s="222"/>
      <c r="AAV48" s="222"/>
      <c r="AAW48" s="223"/>
      <c r="AAX48" s="223"/>
      <c r="AAY48" s="224"/>
      <c r="AAZ48" s="223"/>
      <c r="ABA48" s="223"/>
      <c r="ABB48" s="223"/>
      <c r="ABC48" s="223"/>
      <c r="ABD48" s="225"/>
      <c r="ABE48" s="220"/>
      <c r="ABF48" s="221"/>
      <c r="ABG48" s="222"/>
      <c r="ABH48" s="222"/>
      <c r="ABI48" s="223"/>
      <c r="ABJ48" s="223"/>
      <c r="ABK48" s="224"/>
      <c r="ABL48" s="223"/>
      <c r="ABM48" s="223"/>
      <c r="ABN48" s="223"/>
      <c r="ABO48" s="223"/>
      <c r="ABP48" s="225"/>
      <c r="ABQ48" s="220"/>
      <c r="ABR48" s="221"/>
      <c r="ABS48" s="222"/>
      <c r="ABT48" s="222"/>
      <c r="ABU48" s="223"/>
      <c r="ABV48" s="223"/>
      <c r="ABW48" s="224"/>
      <c r="ABX48" s="223"/>
      <c r="ABY48" s="223"/>
      <c r="ABZ48" s="223"/>
      <c r="ACA48" s="223"/>
      <c r="ACB48" s="225"/>
      <c r="ACC48" s="220"/>
      <c r="ACD48" s="221"/>
      <c r="ACE48" s="222"/>
      <c r="ACF48" s="222"/>
      <c r="ACG48" s="223"/>
      <c r="ACH48" s="223"/>
      <c r="ACI48" s="224"/>
      <c r="ACJ48" s="223"/>
      <c r="ACK48" s="223"/>
      <c r="ACL48" s="223"/>
      <c r="ACM48" s="223"/>
      <c r="ACN48" s="225"/>
      <c r="ACO48" s="220"/>
      <c r="ACP48" s="221"/>
      <c r="ACQ48" s="222"/>
      <c r="ACR48" s="222"/>
      <c r="ACS48" s="223"/>
      <c r="ACT48" s="223"/>
      <c r="ACU48" s="224"/>
      <c r="ACV48" s="223"/>
      <c r="ACW48" s="223"/>
      <c r="ACX48" s="223"/>
      <c r="ACY48" s="223"/>
      <c r="ACZ48" s="225"/>
      <c r="ADA48" s="220"/>
      <c r="ADB48" s="221"/>
      <c r="ADC48" s="222"/>
      <c r="ADD48" s="222"/>
      <c r="ADE48" s="223"/>
      <c r="ADF48" s="223"/>
      <c r="ADG48" s="224"/>
      <c r="ADH48" s="223"/>
      <c r="ADI48" s="223"/>
      <c r="ADJ48" s="223"/>
      <c r="ADK48" s="223"/>
      <c r="ADL48" s="225"/>
      <c r="ADM48" s="220"/>
      <c r="ADN48" s="221"/>
      <c r="ADO48" s="222"/>
      <c r="ADP48" s="222"/>
      <c r="ADQ48" s="223"/>
      <c r="ADR48" s="223"/>
      <c r="ADS48" s="224"/>
      <c r="ADT48" s="223"/>
      <c r="ADU48" s="223"/>
      <c r="ADV48" s="223"/>
      <c r="ADW48" s="223"/>
      <c r="ADX48" s="225"/>
      <c r="ADY48" s="220"/>
      <c r="ADZ48" s="221"/>
      <c r="AEA48" s="222"/>
      <c r="AEB48" s="222"/>
      <c r="AEC48" s="223"/>
      <c r="AED48" s="223"/>
      <c r="AEE48" s="224"/>
      <c r="AEF48" s="223"/>
      <c r="AEG48" s="223"/>
      <c r="AEH48" s="223"/>
      <c r="AEI48" s="223"/>
      <c r="AEJ48" s="225"/>
      <c r="AEK48" s="220"/>
      <c r="AEL48" s="221"/>
      <c r="AEM48" s="222"/>
      <c r="AEN48" s="222"/>
      <c r="AEO48" s="223"/>
      <c r="AEP48" s="223"/>
      <c r="AEQ48" s="224"/>
      <c r="AER48" s="223"/>
      <c r="AES48" s="223"/>
      <c r="AET48" s="223"/>
      <c r="AEU48" s="223"/>
      <c r="AEV48" s="225"/>
      <c r="AEW48" s="220"/>
      <c r="AEX48" s="221"/>
      <c r="AEY48" s="222"/>
      <c r="AEZ48" s="222"/>
      <c r="AFA48" s="223"/>
      <c r="AFB48" s="223"/>
      <c r="AFC48" s="224"/>
      <c r="AFD48" s="223"/>
      <c r="AFE48" s="223"/>
      <c r="AFF48" s="223"/>
      <c r="AFG48" s="223"/>
      <c r="AFH48" s="225"/>
      <c r="AFI48" s="220"/>
      <c r="AFJ48" s="221"/>
      <c r="AFK48" s="222"/>
      <c r="AFL48" s="222"/>
      <c r="AFM48" s="223"/>
      <c r="AFN48" s="223"/>
      <c r="AFO48" s="224"/>
      <c r="AFP48" s="223"/>
      <c r="AFQ48" s="223"/>
      <c r="AFR48" s="223"/>
      <c r="AFS48" s="223"/>
      <c r="AFT48" s="225"/>
      <c r="AFU48" s="220"/>
      <c r="AFV48" s="221"/>
      <c r="AFW48" s="222"/>
      <c r="AFX48" s="222"/>
      <c r="AFY48" s="223"/>
      <c r="AFZ48" s="223"/>
      <c r="AGA48" s="224"/>
      <c r="AGB48" s="223"/>
      <c r="AGC48" s="223"/>
      <c r="AGD48" s="223"/>
      <c r="AGE48" s="223"/>
      <c r="AGF48" s="225"/>
      <c r="AGG48" s="220"/>
      <c r="AGH48" s="221"/>
      <c r="AGI48" s="222"/>
      <c r="AGJ48" s="222"/>
      <c r="AGK48" s="223"/>
      <c r="AGL48" s="223"/>
      <c r="AGM48" s="224"/>
      <c r="AGN48" s="223"/>
      <c r="AGO48" s="223"/>
      <c r="AGP48" s="223"/>
      <c r="AGQ48" s="223"/>
      <c r="AGR48" s="225"/>
      <c r="AGS48" s="220"/>
      <c r="AGT48" s="221"/>
      <c r="AGU48" s="222"/>
      <c r="AGV48" s="222"/>
      <c r="AGW48" s="223"/>
      <c r="AGX48" s="223"/>
      <c r="AGY48" s="224"/>
      <c r="AGZ48" s="223"/>
      <c r="AHA48" s="223"/>
      <c r="AHB48" s="223"/>
      <c r="AHC48" s="223"/>
      <c r="AHD48" s="225"/>
      <c r="AHE48" s="220"/>
      <c r="AHF48" s="221"/>
      <c r="AHG48" s="222"/>
      <c r="AHH48" s="222"/>
      <c r="AHI48" s="223"/>
      <c r="AHJ48" s="223"/>
      <c r="AHK48" s="224"/>
      <c r="AHL48" s="223"/>
      <c r="AHM48" s="223"/>
      <c r="AHN48" s="223"/>
      <c r="AHO48" s="223"/>
      <c r="AHP48" s="225"/>
      <c r="AHQ48" s="220"/>
      <c r="AHR48" s="221"/>
      <c r="AHS48" s="222"/>
      <c r="AHT48" s="222"/>
      <c r="AHU48" s="223"/>
      <c r="AHV48" s="223"/>
      <c r="AHW48" s="224"/>
      <c r="AHX48" s="223"/>
      <c r="AHY48" s="223"/>
      <c r="AHZ48" s="223"/>
      <c r="AIA48" s="223"/>
      <c r="AIB48" s="225"/>
      <c r="AIC48" s="220"/>
      <c r="AID48" s="221"/>
      <c r="AIE48" s="222"/>
      <c r="AIF48" s="222"/>
      <c r="AIG48" s="223"/>
      <c r="AIH48" s="223"/>
      <c r="AII48" s="224"/>
      <c r="AIJ48" s="223"/>
      <c r="AIK48" s="223"/>
      <c r="AIL48" s="223"/>
      <c r="AIM48" s="223"/>
      <c r="AIN48" s="225"/>
      <c r="AIO48" s="220"/>
      <c r="AIP48" s="221"/>
      <c r="AIQ48" s="222"/>
      <c r="AIR48" s="222"/>
      <c r="AIS48" s="223"/>
      <c r="AIT48" s="223"/>
      <c r="AIU48" s="224"/>
      <c r="AIV48" s="223"/>
      <c r="AIW48" s="223"/>
      <c r="AIX48" s="223"/>
      <c r="AIY48" s="223"/>
      <c r="AIZ48" s="225"/>
      <c r="AJA48" s="220"/>
      <c r="AJB48" s="221"/>
      <c r="AJC48" s="222"/>
      <c r="AJD48" s="222"/>
      <c r="AJE48" s="223"/>
      <c r="AJF48" s="223"/>
      <c r="AJG48" s="224"/>
      <c r="AJH48" s="223"/>
      <c r="AJI48" s="223"/>
      <c r="AJJ48" s="223"/>
      <c r="AJK48" s="223"/>
      <c r="AJL48" s="225"/>
      <c r="AJM48" s="220"/>
      <c r="AJN48" s="221"/>
      <c r="AJO48" s="222"/>
      <c r="AJP48" s="222"/>
      <c r="AJQ48" s="223"/>
      <c r="AJR48" s="223"/>
      <c r="AJS48" s="224"/>
      <c r="AJT48" s="223"/>
      <c r="AJU48" s="223"/>
      <c r="AJV48" s="223"/>
      <c r="AJW48" s="223"/>
      <c r="AJX48" s="225"/>
      <c r="AJY48" s="220"/>
      <c r="AJZ48" s="221"/>
      <c r="AKA48" s="222"/>
      <c r="AKB48" s="222"/>
      <c r="AKC48" s="223"/>
      <c r="AKD48" s="223"/>
      <c r="AKE48" s="224"/>
      <c r="AKF48" s="223"/>
      <c r="AKG48" s="223"/>
      <c r="AKH48" s="223"/>
      <c r="AKI48" s="223"/>
      <c r="AKJ48" s="225"/>
      <c r="AKK48" s="220"/>
      <c r="AKL48" s="221"/>
      <c r="AKM48" s="222"/>
      <c r="AKN48" s="222"/>
      <c r="AKO48" s="223"/>
      <c r="AKP48" s="223"/>
      <c r="AKQ48" s="224"/>
      <c r="AKR48" s="223"/>
      <c r="AKS48" s="223"/>
      <c r="AKT48" s="223"/>
      <c r="AKU48" s="223"/>
      <c r="AKV48" s="225"/>
      <c r="AKW48" s="220"/>
      <c r="AKX48" s="221"/>
      <c r="AKY48" s="222"/>
      <c r="AKZ48" s="222"/>
      <c r="ALA48" s="223"/>
      <c r="ALB48" s="223"/>
      <c r="ALC48" s="224"/>
      <c r="ALD48" s="223"/>
      <c r="ALE48" s="223"/>
      <c r="ALF48" s="223"/>
      <c r="ALG48" s="223"/>
      <c r="ALH48" s="225"/>
      <c r="ALI48" s="220"/>
      <c r="ALJ48" s="221"/>
      <c r="ALK48" s="222"/>
      <c r="ALL48" s="222"/>
      <c r="ALM48" s="223"/>
      <c r="ALN48" s="223"/>
      <c r="ALO48" s="224"/>
      <c r="ALP48" s="223"/>
      <c r="ALQ48" s="223"/>
      <c r="ALR48" s="223"/>
      <c r="ALS48" s="223"/>
      <c r="ALT48" s="225"/>
      <c r="ALU48" s="220"/>
      <c r="ALV48" s="221"/>
      <c r="ALW48" s="222"/>
      <c r="ALX48" s="222"/>
      <c r="ALY48" s="223"/>
      <c r="ALZ48" s="223"/>
      <c r="AMA48" s="224"/>
      <c r="AMB48" s="223"/>
      <c r="AMC48" s="223"/>
      <c r="AMD48" s="223"/>
      <c r="AME48" s="223"/>
      <c r="AMF48" s="225"/>
      <c r="AMG48" s="220"/>
      <c r="AMH48" s="221"/>
      <c r="AMI48" s="222"/>
      <c r="AMJ48" s="222"/>
      <c r="AMK48" s="223"/>
      <c r="AML48" s="223"/>
      <c r="AMM48" s="224"/>
      <c r="AMN48" s="223"/>
      <c r="AMO48" s="223"/>
      <c r="AMP48" s="223"/>
      <c r="AMQ48" s="223"/>
      <c r="AMR48" s="225"/>
      <c r="AMS48" s="220"/>
      <c r="AMT48" s="221"/>
      <c r="AMU48" s="222"/>
      <c r="AMV48" s="222"/>
      <c r="AMW48" s="223"/>
      <c r="AMX48" s="223"/>
      <c r="AMY48" s="224"/>
      <c r="AMZ48" s="223"/>
      <c r="ANA48" s="223"/>
      <c r="ANB48" s="223"/>
      <c r="ANC48" s="223"/>
      <c r="AND48" s="225"/>
      <c r="ANE48" s="220"/>
      <c r="ANF48" s="221"/>
      <c r="ANG48" s="222"/>
      <c r="ANH48" s="222"/>
      <c r="ANI48" s="223"/>
      <c r="ANJ48" s="223"/>
      <c r="ANK48" s="224"/>
      <c r="ANL48" s="223"/>
      <c r="ANM48" s="223"/>
      <c r="ANN48" s="223"/>
      <c r="ANO48" s="223"/>
      <c r="ANP48" s="225"/>
      <c r="ANQ48" s="220"/>
      <c r="ANR48" s="221"/>
      <c r="ANS48" s="222"/>
      <c r="ANT48" s="222"/>
      <c r="ANU48" s="223"/>
      <c r="ANV48" s="223"/>
      <c r="ANW48" s="224"/>
      <c r="ANX48" s="223"/>
      <c r="ANY48" s="223"/>
      <c r="ANZ48" s="223"/>
      <c r="AOA48" s="223"/>
      <c r="AOB48" s="225"/>
      <c r="AOC48" s="220"/>
      <c r="AOD48" s="221"/>
      <c r="AOE48" s="222"/>
      <c r="AOF48" s="222"/>
      <c r="AOG48" s="223"/>
      <c r="AOH48" s="223"/>
      <c r="AOI48" s="224"/>
      <c r="AOJ48" s="223"/>
      <c r="AOK48" s="223"/>
      <c r="AOL48" s="223"/>
      <c r="AOM48" s="223"/>
      <c r="AON48" s="225"/>
      <c r="AOO48" s="220"/>
      <c r="AOP48" s="221"/>
      <c r="AOQ48" s="222"/>
      <c r="AOR48" s="222"/>
      <c r="AOS48" s="223"/>
      <c r="AOT48" s="223"/>
      <c r="AOU48" s="224"/>
      <c r="AOV48" s="223"/>
      <c r="AOW48" s="223"/>
      <c r="AOX48" s="223"/>
      <c r="AOY48" s="223"/>
      <c r="AOZ48" s="225"/>
      <c r="APA48" s="220"/>
      <c r="APB48" s="221"/>
      <c r="APC48" s="222"/>
      <c r="APD48" s="222"/>
      <c r="APE48" s="223"/>
      <c r="APF48" s="223"/>
      <c r="APG48" s="224"/>
      <c r="APH48" s="223"/>
      <c r="API48" s="223"/>
      <c r="APJ48" s="223"/>
      <c r="APK48" s="223"/>
      <c r="APL48" s="225"/>
      <c r="APM48" s="220"/>
      <c r="APN48" s="221"/>
      <c r="APO48" s="222"/>
      <c r="APP48" s="222"/>
      <c r="APQ48" s="223"/>
      <c r="APR48" s="223"/>
      <c r="APS48" s="224"/>
      <c r="APT48" s="223"/>
      <c r="APU48" s="223"/>
      <c r="APV48" s="223"/>
      <c r="APW48" s="223"/>
      <c r="APX48" s="225"/>
      <c r="APY48" s="220"/>
      <c r="APZ48" s="221"/>
      <c r="AQA48" s="222"/>
      <c r="AQB48" s="222"/>
      <c r="AQC48" s="223"/>
      <c r="AQD48" s="223"/>
      <c r="AQE48" s="224"/>
      <c r="AQF48" s="223"/>
      <c r="AQG48" s="223"/>
      <c r="AQH48" s="223"/>
      <c r="AQI48" s="223"/>
      <c r="AQJ48" s="225"/>
      <c r="AQK48" s="220"/>
      <c r="AQL48" s="221"/>
      <c r="AQM48" s="222"/>
      <c r="AQN48" s="222"/>
      <c r="AQO48" s="223"/>
      <c r="AQP48" s="223"/>
      <c r="AQQ48" s="224"/>
      <c r="AQR48" s="223"/>
      <c r="AQS48" s="223"/>
      <c r="AQT48" s="223"/>
      <c r="AQU48" s="223"/>
      <c r="AQV48" s="225"/>
      <c r="AQW48" s="220"/>
      <c r="AQX48" s="221"/>
      <c r="AQY48" s="222"/>
      <c r="AQZ48" s="222"/>
      <c r="ARA48" s="223"/>
      <c r="ARB48" s="223"/>
      <c r="ARC48" s="224"/>
      <c r="ARD48" s="223"/>
      <c r="ARE48" s="223"/>
      <c r="ARF48" s="223"/>
      <c r="ARG48" s="223"/>
      <c r="ARH48" s="225"/>
      <c r="ARI48" s="220"/>
      <c r="ARJ48" s="221"/>
      <c r="ARK48" s="222"/>
      <c r="ARL48" s="222"/>
      <c r="ARM48" s="223"/>
      <c r="ARN48" s="223"/>
      <c r="ARO48" s="224"/>
      <c r="ARP48" s="223"/>
      <c r="ARQ48" s="223"/>
      <c r="ARR48" s="223"/>
      <c r="ARS48" s="223"/>
      <c r="ART48" s="225"/>
      <c r="ARU48" s="220"/>
      <c r="ARV48" s="221"/>
      <c r="ARW48" s="222"/>
      <c r="ARX48" s="222"/>
      <c r="ARY48" s="223"/>
      <c r="ARZ48" s="223"/>
      <c r="ASA48" s="224"/>
      <c r="ASB48" s="223"/>
      <c r="ASC48" s="223"/>
      <c r="ASD48" s="223"/>
      <c r="ASE48" s="223"/>
      <c r="ASF48" s="225"/>
      <c r="ASG48" s="220"/>
      <c r="ASH48" s="221"/>
      <c r="ASI48" s="222"/>
      <c r="ASJ48" s="222"/>
      <c r="ASK48" s="223"/>
      <c r="ASL48" s="223"/>
      <c r="ASM48" s="224"/>
      <c r="ASN48" s="223"/>
      <c r="ASO48" s="223"/>
      <c r="ASP48" s="223"/>
      <c r="ASQ48" s="223"/>
      <c r="ASR48" s="225"/>
      <c r="ASS48" s="220"/>
      <c r="AST48" s="221"/>
      <c r="ASU48" s="222"/>
      <c r="ASV48" s="222"/>
      <c r="ASW48" s="223"/>
      <c r="ASX48" s="223"/>
      <c r="ASY48" s="224"/>
      <c r="ASZ48" s="223"/>
      <c r="ATA48" s="223"/>
      <c r="ATB48" s="223"/>
      <c r="ATC48" s="223"/>
      <c r="ATD48" s="225"/>
      <c r="ATE48" s="220"/>
      <c r="ATF48" s="221"/>
      <c r="ATG48" s="222"/>
      <c r="ATH48" s="222"/>
      <c r="ATI48" s="223"/>
      <c r="ATJ48" s="223"/>
      <c r="ATK48" s="224"/>
      <c r="ATL48" s="223"/>
      <c r="ATM48" s="223"/>
      <c r="ATN48" s="223"/>
      <c r="ATO48" s="223"/>
      <c r="ATP48" s="225"/>
      <c r="ATQ48" s="220"/>
      <c r="ATR48" s="221"/>
      <c r="ATS48" s="222"/>
      <c r="ATT48" s="222"/>
      <c r="ATU48" s="223"/>
      <c r="ATV48" s="223"/>
      <c r="ATW48" s="224"/>
      <c r="ATX48" s="223"/>
      <c r="ATY48" s="223"/>
      <c r="ATZ48" s="223"/>
      <c r="AUA48" s="223"/>
      <c r="AUB48" s="225"/>
      <c r="AUC48" s="220"/>
      <c r="AUD48" s="221"/>
      <c r="AUE48" s="222"/>
      <c r="AUF48" s="222"/>
      <c r="AUG48" s="223"/>
      <c r="AUH48" s="223"/>
      <c r="AUI48" s="224"/>
      <c r="AUJ48" s="223"/>
      <c r="AUK48" s="223"/>
      <c r="AUL48" s="223"/>
      <c r="AUM48" s="223"/>
      <c r="AUN48" s="225"/>
      <c r="AUO48" s="220"/>
      <c r="AUP48" s="221"/>
      <c r="AUQ48" s="222"/>
      <c r="AUR48" s="222"/>
      <c r="AUS48" s="223"/>
      <c r="AUT48" s="223"/>
      <c r="AUU48" s="224"/>
      <c r="AUV48" s="223"/>
      <c r="AUW48" s="223"/>
      <c r="AUX48" s="223"/>
      <c r="AUY48" s="223"/>
      <c r="AUZ48" s="225"/>
      <c r="AVA48" s="220"/>
      <c r="AVB48" s="221"/>
      <c r="AVC48" s="222"/>
      <c r="AVD48" s="222"/>
      <c r="AVE48" s="223"/>
      <c r="AVF48" s="223"/>
      <c r="AVG48" s="224"/>
      <c r="AVH48" s="223"/>
      <c r="AVI48" s="223"/>
      <c r="AVJ48" s="223"/>
      <c r="AVK48" s="223"/>
      <c r="AVL48" s="225"/>
      <c r="AVM48" s="220"/>
      <c r="AVN48" s="221"/>
      <c r="AVO48" s="222"/>
      <c r="AVP48" s="222"/>
      <c r="AVQ48" s="223"/>
      <c r="AVR48" s="223"/>
      <c r="AVS48" s="224"/>
      <c r="AVT48" s="223"/>
      <c r="AVU48" s="223"/>
      <c r="AVV48" s="223"/>
      <c r="AVW48" s="223"/>
      <c r="AVX48" s="225"/>
      <c r="AVY48" s="220"/>
      <c r="AVZ48" s="221"/>
      <c r="AWA48" s="222"/>
      <c r="AWB48" s="222"/>
      <c r="AWC48" s="223"/>
      <c r="AWD48" s="223"/>
      <c r="AWE48" s="224"/>
      <c r="AWF48" s="223"/>
      <c r="AWG48" s="223"/>
      <c r="AWH48" s="223"/>
      <c r="AWI48" s="223"/>
      <c r="AWJ48" s="225"/>
      <c r="AWK48" s="220"/>
      <c r="AWL48" s="221"/>
      <c r="AWM48" s="222"/>
      <c r="AWN48" s="222"/>
      <c r="AWO48" s="223"/>
      <c r="AWP48" s="223"/>
      <c r="AWQ48" s="224"/>
      <c r="AWR48" s="223"/>
      <c r="AWS48" s="223"/>
      <c r="AWT48" s="223"/>
      <c r="AWU48" s="223"/>
      <c r="AWV48" s="225"/>
      <c r="AWW48" s="220"/>
      <c r="AWX48" s="221"/>
      <c r="AWY48" s="222"/>
      <c r="AWZ48" s="222"/>
      <c r="AXA48" s="223"/>
      <c r="AXB48" s="223"/>
      <c r="AXC48" s="224"/>
      <c r="AXD48" s="223"/>
      <c r="AXE48" s="223"/>
      <c r="AXF48" s="223"/>
      <c r="AXG48" s="223"/>
      <c r="AXH48" s="225"/>
      <c r="AXI48" s="220"/>
      <c r="AXJ48" s="221"/>
      <c r="AXK48" s="222"/>
      <c r="AXL48" s="222"/>
      <c r="AXM48" s="223"/>
      <c r="AXN48" s="223"/>
      <c r="AXO48" s="224"/>
      <c r="AXP48" s="223"/>
      <c r="AXQ48" s="223"/>
      <c r="AXR48" s="223"/>
      <c r="AXS48" s="223"/>
      <c r="AXT48" s="225"/>
      <c r="AXU48" s="220"/>
      <c r="AXV48" s="221"/>
      <c r="AXW48" s="222"/>
      <c r="AXX48" s="222"/>
      <c r="AXY48" s="223"/>
      <c r="AXZ48" s="223"/>
      <c r="AYA48" s="224"/>
      <c r="AYB48" s="223"/>
      <c r="AYC48" s="223"/>
      <c r="AYD48" s="223"/>
      <c r="AYE48" s="223"/>
      <c r="AYF48" s="225"/>
      <c r="AYG48" s="220"/>
      <c r="AYH48" s="221"/>
      <c r="AYI48" s="222"/>
      <c r="AYJ48" s="222"/>
      <c r="AYK48" s="223"/>
      <c r="AYL48" s="223"/>
      <c r="AYM48" s="224"/>
      <c r="AYN48" s="223"/>
      <c r="AYO48" s="223"/>
      <c r="AYP48" s="223"/>
      <c r="AYQ48" s="223"/>
      <c r="AYR48" s="225"/>
      <c r="AYS48" s="220"/>
      <c r="AYT48" s="221"/>
      <c r="AYU48" s="222"/>
      <c r="AYV48" s="222"/>
      <c r="AYW48" s="223"/>
      <c r="AYX48" s="223"/>
      <c r="AYY48" s="224"/>
      <c r="AYZ48" s="223"/>
      <c r="AZA48" s="223"/>
      <c r="AZB48" s="223"/>
      <c r="AZC48" s="223"/>
      <c r="AZD48" s="225"/>
      <c r="AZE48" s="220"/>
      <c r="AZF48" s="221"/>
      <c r="AZG48" s="222"/>
      <c r="AZH48" s="222"/>
      <c r="AZI48" s="223"/>
      <c r="AZJ48" s="223"/>
      <c r="AZK48" s="224"/>
      <c r="AZL48" s="223"/>
      <c r="AZM48" s="223"/>
      <c r="AZN48" s="223"/>
      <c r="AZO48" s="223"/>
      <c r="AZP48" s="225"/>
      <c r="AZQ48" s="220"/>
      <c r="AZR48" s="221"/>
      <c r="AZS48" s="222"/>
      <c r="AZT48" s="222"/>
      <c r="AZU48" s="223"/>
      <c r="AZV48" s="223"/>
      <c r="AZW48" s="224"/>
      <c r="AZX48" s="223"/>
      <c r="AZY48" s="223"/>
      <c r="AZZ48" s="223"/>
      <c r="BAA48" s="223"/>
      <c r="BAB48" s="225"/>
      <c r="BAC48" s="220"/>
      <c r="BAD48" s="221"/>
      <c r="BAE48" s="222"/>
      <c r="BAF48" s="222"/>
      <c r="BAG48" s="223"/>
      <c r="BAH48" s="223"/>
      <c r="BAI48" s="224"/>
      <c r="BAJ48" s="223"/>
      <c r="BAK48" s="223"/>
      <c r="BAL48" s="223"/>
      <c r="BAM48" s="223"/>
      <c r="BAN48" s="225"/>
      <c r="BAO48" s="220"/>
      <c r="BAP48" s="221"/>
      <c r="BAQ48" s="222"/>
      <c r="BAR48" s="222"/>
      <c r="BAS48" s="223"/>
      <c r="BAT48" s="223"/>
      <c r="BAU48" s="224"/>
      <c r="BAV48" s="223"/>
      <c r="BAW48" s="223"/>
      <c r="BAX48" s="223"/>
      <c r="BAY48" s="223"/>
      <c r="BAZ48" s="225"/>
      <c r="BBA48" s="220"/>
      <c r="BBB48" s="221"/>
      <c r="BBC48" s="222"/>
      <c r="BBD48" s="222"/>
      <c r="BBE48" s="223"/>
      <c r="BBF48" s="223"/>
      <c r="BBG48" s="224"/>
      <c r="BBH48" s="223"/>
      <c r="BBI48" s="223"/>
      <c r="BBJ48" s="223"/>
      <c r="BBK48" s="223"/>
      <c r="BBL48" s="225"/>
      <c r="BBM48" s="220"/>
      <c r="BBN48" s="221"/>
      <c r="BBO48" s="222"/>
      <c r="BBP48" s="222"/>
      <c r="BBQ48" s="223"/>
      <c r="BBR48" s="223"/>
      <c r="BBS48" s="224"/>
      <c r="BBT48" s="223"/>
      <c r="BBU48" s="223"/>
      <c r="BBV48" s="223"/>
      <c r="BBW48" s="223"/>
      <c r="BBX48" s="225"/>
      <c r="BBY48" s="220"/>
      <c r="BBZ48" s="221"/>
      <c r="BCA48" s="222"/>
      <c r="BCB48" s="222"/>
      <c r="BCC48" s="223"/>
      <c r="BCD48" s="223"/>
      <c r="BCE48" s="224"/>
      <c r="BCF48" s="223"/>
      <c r="BCG48" s="223"/>
      <c r="BCH48" s="223"/>
      <c r="BCI48" s="223"/>
      <c r="BCJ48" s="225"/>
      <c r="BCK48" s="220"/>
      <c r="BCL48" s="221"/>
      <c r="BCM48" s="222"/>
      <c r="BCN48" s="222"/>
      <c r="BCO48" s="223"/>
      <c r="BCP48" s="223"/>
      <c r="BCQ48" s="224"/>
      <c r="BCR48" s="223"/>
      <c r="BCS48" s="223"/>
      <c r="BCT48" s="223"/>
      <c r="BCU48" s="223"/>
      <c r="BCV48" s="225"/>
      <c r="BCW48" s="220"/>
      <c r="BCX48" s="221"/>
      <c r="BCY48" s="222"/>
      <c r="BCZ48" s="222"/>
      <c r="BDA48" s="223"/>
      <c r="BDB48" s="223"/>
      <c r="BDC48" s="224"/>
      <c r="BDD48" s="223"/>
      <c r="BDE48" s="223"/>
      <c r="BDF48" s="223"/>
      <c r="BDG48" s="223"/>
      <c r="BDH48" s="225"/>
      <c r="BDI48" s="220"/>
      <c r="BDJ48" s="221"/>
      <c r="BDK48" s="222"/>
      <c r="BDL48" s="222"/>
      <c r="BDM48" s="223"/>
      <c r="BDN48" s="223"/>
      <c r="BDO48" s="224"/>
      <c r="BDP48" s="223"/>
      <c r="BDQ48" s="223"/>
      <c r="BDR48" s="223"/>
      <c r="BDS48" s="223"/>
      <c r="BDT48" s="225"/>
      <c r="BDU48" s="220"/>
      <c r="BDV48" s="221"/>
      <c r="BDW48" s="222"/>
      <c r="BDX48" s="222"/>
      <c r="BDY48" s="223"/>
      <c r="BDZ48" s="223"/>
      <c r="BEA48" s="224"/>
      <c r="BEB48" s="223"/>
      <c r="BEC48" s="223"/>
      <c r="BED48" s="223"/>
      <c r="BEE48" s="223"/>
      <c r="BEF48" s="225"/>
      <c r="BEG48" s="220"/>
      <c r="BEH48" s="221"/>
      <c r="BEI48" s="222"/>
      <c r="BEJ48" s="222"/>
      <c r="BEK48" s="223"/>
      <c r="BEL48" s="223"/>
      <c r="BEM48" s="224"/>
      <c r="BEN48" s="223"/>
      <c r="BEO48" s="223"/>
      <c r="BEP48" s="223"/>
      <c r="BEQ48" s="223"/>
      <c r="BER48" s="225"/>
      <c r="BES48" s="220"/>
      <c r="BET48" s="221"/>
      <c r="BEU48" s="222"/>
      <c r="BEV48" s="222"/>
      <c r="BEW48" s="223"/>
      <c r="BEX48" s="223"/>
      <c r="BEY48" s="224"/>
      <c r="BEZ48" s="223"/>
      <c r="BFA48" s="223"/>
      <c r="BFB48" s="223"/>
      <c r="BFC48" s="223"/>
      <c r="BFD48" s="225"/>
      <c r="BFE48" s="220"/>
      <c r="BFF48" s="221"/>
      <c r="BFG48" s="222"/>
      <c r="BFH48" s="222"/>
      <c r="BFI48" s="223"/>
      <c r="BFJ48" s="223"/>
      <c r="BFK48" s="224"/>
      <c r="BFL48" s="223"/>
      <c r="BFM48" s="223"/>
      <c r="BFN48" s="223"/>
      <c r="BFO48" s="223"/>
      <c r="BFP48" s="225"/>
      <c r="BFQ48" s="220"/>
      <c r="BFR48" s="221"/>
      <c r="BFS48" s="222"/>
      <c r="BFT48" s="222"/>
      <c r="BFU48" s="223"/>
      <c r="BFV48" s="223"/>
      <c r="BFW48" s="224"/>
      <c r="BFX48" s="223"/>
      <c r="BFY48" s="223"/>
      <c r="BFZ48" s="223"/>
      <c r="BGA48" s="223"/>
      <c r="BGB48" s="225"/>
      <c r="BGC48" s="220"/>
      <c r="BGD48" s="221"/>
      <c r="BGE48" s="222"/>
      <c r="BGF48" s="222"/>
      <c r="BGG48" s="223"/>
      <c r="BGH48" s="223"/>
      <c r="BGI48" s="224"/>
      <c r="BGJ48" s="223"/>
      <c r="BGK48" s="223"/>
      <c r="BGL48" s="223"/>
      <c r="BGM48" s="223"/>
      <c r="BGN48" s="225"/>
      <c r="BGO48" s="220"/>
      <c r="BGP48" s="221"/>
      <c r="BGQ48" s="222"/>
      <c r="BGR48" s="222"/>
      <c r="BGS48" s="223"/>
      <c r="BGT48" s="223"/>
      <c r="BGU48" s="224"/>
      <c r="BGV48" s="223"/>
      <c r="BGW48" s="223"/>
      <c r="BGX48" s="223"/>
      <c r="BGY48" s="223"/>
      <c r="BGZ48" s="225"/>
      <c r="BHA48" s="220"/>
      <c r="BHB48" s="221"/>
      <c r="BHC48" s="222"/>
      <c r="BHD48" s="222"/>
      <c r="BHE48" s="223"/>
      <c r="BHF48" s="223"/>
      <c r="BHG48" s="224"/>
      <c r="BHH48" s="223"/>
      <c r="BHI48" s="223"/>
      <c r="BHJ48" s="223"/>
      <c r="BHK48" s="223"/>
      <c r="BHL48" s="225"/>
      <c r="BHM48" s="220"/>
      <c r="BHN48" s="221"/>
      <c r="BHO48" s="222"/>
      <c r="BHP48" s="222"/>
      <c r="BHQ48" s="223"/>
      <c r="BHR48" s="223"/>
      <c r="BHS48" s="224"/>
      <c r="BHT48" s="223"/>
      <c r="BHU48" s="223"/>
      <c r="BHV48" s="223"/>
      <c r="BHW48" s="223"/>
      <c r="BHX48" s="225"/>
      <c r="BHY48" s="220"/>
      <c r="BHZ48" s="221"/>
      <c r="BIA48" s="222"/>
      <c r="BIB48" s="222"/>
      <c r="BIC48" s="223"/>
      <c r="BID48" s="223"/>
      <c r="BIE48" s="224"/>
      <c r="BIF48" s="223"/>
      <c r="BIG48" s="223"/>
      <c r="BIH48" s="223"/>
      <c r="BII48" s="223"/>
      <c r="BIJ48" s="225"/>
      <c r="BIK48" s="220"/>
      <c r="BIL48" s="221"/>
      <c r="BIM48" s="222"/>
      <c r="BIN48" s="222"/>
      <c r="BIO48" s="223"/>
      <c r="BIP48" s="223"/>
      <c r="BIQ48" s="224"/>
      <c r="BIR48" s="223"/>
      <c r="BIS48" s="223"/>
      <c r="BIT48" s="223"/>
      <c r="BIU48" s="223"/>
      <c r="BIV48" s="225"/>
      <c r="BIW48" s="220"/>
      <c r="BIX48" s="221"/>
      <c r="BIY48" s="222"/>
      <c r="BIZ48" s="222"/>
      <c r="BJA48" s="223"/>
      <c r="BJB48" s="223"/>
      <c r="BJC48" s="224"/>
      <c r="BJD48" s="223"/>
      <c r="BJE48" s="223"/>
      <c r="BJF48" s="223"/>
      <c r="BJG48" s="223"/>
      <c r="BJH48" s="225"/>
      <c r="BJI48" s="220"/>
      <c r="BJJ48" s="221"/>
      <c r="BJK48" s="222"/>
      <c r="BJL48" s="222"/>
      <c r="BJM48" s="223"/>
      <c r="BJN48" s="223"/>
      <c r="BJO48" s="224"/>
      <c r="BJP48" s="223"/>
      <c r="BJQ48" s="223"/>
      <c r="BJR48" s="223"/>
      <c r="BJS48" s="223"/>
      <c r="BJT48" s="225"/>
      <c r="BJU48" s="220"/>
      <c r="BJV48" s="221"/>
      <c r="BJW48" s="222"/>
      <c r="BJX48" s="222"/>
      <c r="BJY48" s="223"/>
      <c r="BJZ48" s="223"/>
      <c r="BKA48" s="224"/>
      <c r="BKB48" s="223"/>
      <c r="BKC48" s="223"/>
      <c r="BKD48" s="223"/>
      <c r="BKE48" s="223"/>
      <c r="BKF48" s="225"/>
      <c r="BKG48" s="220"/>
      <c r="BKH48" s="221"/>
      <c r="BKI48" s="222"/>
      <c r="BKJ48" s="222"/>
      <c r="BKK48" s="223"/>
      <c r="BKL48" s="223"/>
      <c r="BKM48" s="224"/>
      <c r="BKN48" s="223"/>
      <c r="BKO48" s="223"/>
      <c r="BKP48" s="223"/>
      <c r="BKQ48" s="223"/>
      <c r="BKR48" s="225"/>
      <c r="BKS48" s="220"/>
      <c r="BKT48" s="221"/>
      <c r="BKU48" s="222"/>
      <c r="BKV48" s="222"/>
      <c r="BKW48" s="223"/>
      <c r="BKX48" s="223"/>
      <c r="BKY48" s="224"/>
      <c r="BKZ48" s="223"/>
      <c r="BLA48" s="223"/>
      <c r="BLB48" s="223"/>
      <c r="BLC48" s="223"/>
      <c r="BLD48" s="225"/>
      <c r="BLE48" s="220"/>
      <c r="BLF48" s="221"/>
      <c r="BLG48" s="222"/>
      <c r="BLH48" s="222"/>
      <c r="BLI48" s="223"/>
      <c r="BLJ48" s="223"/>
      <c r="BLK48" s="224"/>
      <c r="BLL48" s="223"/>
      <c r="BLM48" s="223"/>
      <c r="BLN48" s="223"/>
      <c r="BLO48" s="223"/>
      <c r="BLP48" s="225"/>
      <c r="BLQ48" s="220"/>
      <c r="BLR48" s="221"/>
      <c r="BLS48" s="222"/>
      <c r="BLT48" s="222"/>
      <c r="BLU48" s="223"/>
      <c r="BLV48" s="223"/>
      <c r="BLW48" s="224"/>
      <c r="BLX48" s="223"/>
      <c r="BLY48" s="223"/>
      <c r="BLZ48" s="223"/>
      <c r="BMA48" s="223"/>
      <c r="BMB48" s="225"/>
      <c r="BMC48" s="220"/>
      <c r="BMD48" s="221"/>
      <c r="BME48" s="222"/>
      <c r="BMF48" s="222"/>
      <c r="BMG48" s="223"/>
      <c r="BMH48" s="223"/>
      <c r="BMI48" s="224"/>
      <c r="BMJ48" s="223"/>
      <c r="BMK48" s="223"/>
      <c r="BML48" s="223"/>
      <c r="BMM48" s="223"/>
      <c r="BMN48" s="225"/>
      <c r="BMO48" s="220"/>
      <c r="BMP48" s="221"/>
      <c r="BMQ48" s="222"/>
      <c r="BMR48" s="222"/>
      <c r="BMS48" s="223"/>
      <c r="BMT48" s="223"/>
      <c r="BMU48" s="224"/>
      <c r="BMV48" s="223"/>
      <c r="BMW48" s="223"/>
      <c r="BMX48" s="223"/>
      <c r="BMY48" s="223"/>
      <c r="BMZ48" s="225"/>
      <c r="BNA48" s="220"/>
      <c r="BNB48" s="221"/>
      <c r="BNC48" s="222"/>
      <c r="BND48" s="222"/>
      <c r="BNE48" s="223"/>
      <c r="BNF48" s="223"/>
      <c r="BNG48" s="224"/>
      <c r="BNH48" s="223"/>
      <c r="BNI48" s="223"/>
      <c r="BNJ48" s="223"/>
      <c r="BNK48" s="223"/>
      <c r="BNL48" s="225"/>
      <c r="BNM48" s="220"/>
      <c r="BNN48" s="221"/>
      <c r="BNO48" s="222"/>
      <c r="BNP48" s="222"/>
      <c r="BNQ48" s="223"/>
      <c r="BNR48" s="223"/>
      <c r="BNS48" s="224"/>
      <c r="BNT48" s="223"/>
      <c r="BNU48" s="223"/>
      <c r="BNV48" s="223"/>
      <c r="BNW48" s="223"/>
      <c r="BNX48" s="225"/>
      <c r="BNY48" s="220"/>
      <c r="BNZ48" s="221"/>
      <c r="BOA48" s="222"/>
      <c r="BOB48" s="222"/>
      <c r="BOC48" s="223"/>
      <c r="BOD48" s="223"/>
      <c r="BOE48" s="224"/>
      <c r="BOF48" s="223"/>
      <c r="BOG48" s="223"/>
      <c r="BOH48" s="223"/>
      <c r="BOI48" s="223"/>
      <c r="BOJ48" s="225"/>
      <c r="BOK48" s="220"/>
      <c r="BOL48" s="221"/>
      <c r="BOM48" s="222"/>
      <c r="BON48" s="222"/>
      <c r="BOO48" s="223"/>
      <c r="BOP48" s="223"/>
      <c r="BOQ48" s="224"/>
      <c r="BOR48" s="223"/>
      <c r="BOS48" s="223"/>
      <c r="BOT48" s="223"/>
      <c r="BOU48" s="223"/>
      <c r="BOV48" s="225"/>
      <c r="BOW48" s="220"/>
      <c r="BOX48" s="221"/>
      <c r="BOY48" s="222"/>
      <c r="BOZ48" s="222"/>
      <c r="BPA48" s="223"/>
      <c r="BPB48" s="223"/>
      <c r="BPC48" s="224"/>
      <c r="BPD48" s="223"/>
      <c r="BPE48" s="223"/>
      <c r="BPF48" s="223"/>
      <c r="BPG48" s="223"/>
      <c r="BPH48" s="225"/>
      <c r="BPI48" s="220"/>
      <c r="BPJ48" s="221"/>
      <c r="BPK48" s="222"/>
      <c r="BPL48" s="222"/>
      <c r="BPM48" s="223"/>
      <c r="BPN48" s="223"/>
      <c r="BPO48" s="224"/>
      <c r="BPP48" s="223"/>
      <c r="BPQ48" s="223"/>
      <c r="BPR48" s="223"/>
      <c r="BPS48" s="223"/>
      <c r="BPT48" s="225"/>
      <c r="BPU48" s="220"/>
      <c r="BPV48" s="221"/>
      <c r="BPW48" s="222"/>
      <c r="BPX48" s="222"/>
      <c r="BPY48" s="223"/>
      <c r="BPZ48" s="223"/>
      <c r="BQA48" s="224"/>
      <c r="BQB48" s="223"/>
      <c r="BQC48" s="223"/>
      <c r="BQD48" s="223"/>
      <c r="BQE48" s="223"/>
      <c r="BQF48" s="225"/>
      <c r="BQG48" s="220"/>
      <c r="BQH48" s="221"/>
      <c r="BQI48" s="222"/>
      <c r="BQJ48" s="222"/>
      <c r="BQK48" s="223"/>
      <c r="BQL48" s="223"/>
      <c r="BQM48" s="224"/>
      <c r="BQN48" s="223"/>
      <c r="BQO48" s="223"/>
      <c r="BQP48" s="223"/>
      <c r="BQQ48" s="223"/>
      <c r="BQR48" s="225"/>
      <c r="BQS48" s="220"/>
      <c r="BQT48" s="221"/>
      <c r="BQU48" s="222"/>
      <c r="BQV48" s="222"/>
      <c r="BQW48" s="223"/>
      <c r="BQX48" s="223"/>
      <c r="BQY48" s="224"/>
      <c r="BQZ48" s="223"/>
      <c r="BRA48" s="223"/>
      <c r="BRB48" s="223"/>
      <c r="BRC48" s="223"/>
      <c r="BRD48" s="225"/>
      <c r="BRE48" s="220"/>
      <c r="BRF48" s="221"/>
      <c r="BRG48" s="222"/>
      <c r="BRH48" s="222"/>
      <c r="BRI48" s="223"/>
      <c r="BRJ48" s="223"/>
      <c r="BRK48" s="224"/>
      <c r="BRL48" s="223"/>
      <c r="BRM48" s="223"/>
      <c r="BRN48" s="223"/>
      <c r="BRO48" s="223"/>
      <c r="BRP48" s="225"/>
      <c r="BRQ48" s="220"/>
      <c r="BRR48" s="221"/>
      <c r="BRS48" s="222"/>
      <c r="BRT48" s="222"/>
      <c r="BRU48" s="223"/>
      <c r="BRV48" s="223"/>
      <c r="BRW48" s="224"/>
      <c r="BRX48" s="223"/>
      <c r="BRY48" s="223"/>
      <c r="BRZ48" s="223"/>
      <c r="BSA48" s="223"/>
      <c r="BSB48" s="225"/>
      <c r="BSC48" s="220"/>
      <c r="BSD48" s="221"/>
      <c r="BSE48" s="222"/>
      <c r="BSF48" s="222"/>
      <c r="BSG48" s="223"/>
      <c r="BSH48" s="223"/>
      <c r="BSI48" s="224"/>
      <c r="BSJ48" s="223"/>
      <c r="BSK48" s="223"/>
      <c r="BSL48" s="223"/>
      <c r="BSM48" s="223"/>
      <c r="BSN48" s="225"/>
      <c r="BSO48" s="220"/>
      <c r="BSP48" s="221"/>
      <c r="BSQ48" s="222"/>
      <c r="BSR48" s="222"/>
      <c r="BSS48" s="223"/>
      <c r="BST48" s="223"/>
      <c r="BSU48" s="224"/>
      <c r="BSV48" s="223"/>
      <c r="BSW48" s="223"/>
      <c r="BSX48" s="223"/>
      <c r="BSY48" s="223"/>
      <c r="BSZ48" s="225"/>
      <c r="BTA48" s="220"/>
      <c r="BTB48" s="221"/>
      <c r="BTC48" s="222"/>
      <c r="BTD48" s="222"/>
      <c r="BTE48" s="223"/>
      <c r="BTF48" s="223"/>
      <c r="BTG48" s="224"/>
      <c r="BTH48" s="223"/>
      <c r="BTI48" s="223"/>
      <c r="BTJ48" s="223"/>
      <c r="BTK48" s="223"/>
      <c r="BTL48" s="225"/>
      <c r="BTM48" s="220"/>
      <c r="BTN48" s="221"/>
      <c r="BTO48" s="222"/>
      <c r="BTP48" s="222"/>
      <c r="BTQ48" s="223"/>
      <c r="BTR48" s="223"/>
      <c r="BTS48" s="224"/>
      <c r="BTT48" s="223"/>
      <c r="BTU48" s="223"/>
      <c r="BTV48" s="223"/>
      <c r="BTW48" s="223"/>
      <c r="BTX48" s="225"/>
      <c r="BTY48" s="220"/>
      <c r="BTZ48" s="221"/>
      <c r="BUA48" s="222"/>
      <c r="BUB48" s="222"/>
      <c r="BUC48" s="223"/>
      <c r="BUD48" s="223"/>
      <c r="BUE48" s="224"/>
      <c r="BUF48" s="223"/>
      <c r="BUG48" s="223"/>
      <c r="BUH48" s="223"/>
      <c r="BUI48" s="223"/>
      <c r="BUJ48" s="225"/>
      <c r="BUK48" s="220"/>
      <c r="BUL48" s="221"/>
      <c r="BUM48" s="222"/>
      <c r="BUN48" s="222"/>
      <c r="BUO48" s="223"/>
      <c r="BUP48" s="223"/>
      <c r="BUQ48" s="224"/>
      <c r="BUR48" s="223"/>
      <c r="BUS48" s="223"/>
      <c r="BUT48" s="223"/>
      <c r="BUU48" s="223"/>
      <c r="BUV48" s="225"/>
      <c r="BUW48" s="220"/>
      <c r="BUX48" s="221"/>
      <c r="BUY48" s="222"/>
      <c r="BUZ48" s="222"/>
      <c r="BVA48" s="223"/>
      <c r="BVB48" s="223"/>
      <c r="BVC48" s="224"/>
      <c r="BVD48" s="223"/>
      <c r="BVE48" s="223"/>
      <c r="BVF48" s="223"/>
      <c r="BVG48" s="223"/>
      <c r="BVH48" s="225"/>
      <c r="BVI48" s="220"/>
      <c r="BVJ48" s="221"/>
      <c r="BVK48" s="222"/>
      <c r="BVL48" s="222"/>
      <c r="BVM48" s="223"/>
      <c r="BVN48" s="223"/>
      <c r="BVO48" s="224"/>
      <c r="BVP48" s="223"/>
      <c r="BVQ48" s="223"/>
      <c r="BVR48" s="223"/>
      <c r="BVS48" s="223"/>
      <c r="BVT48" s="225"/>
      <c r="BVU48" s="220"/>
      <c r="BVV48" s="221"/>
      <c r="BVW48" s="222"/>
      <c r="BVX48" s="222"/>
      <c r="BVY48" s="223"/>
      <c r="BVZ48" s="223"/>
      <c r="BWA48" s="224"/>
      <c r="BWB48" s="223"/>
      <c r="BWC48" s="223"/>
      <c r="BWD48" s="223"/>
      <c r="BWE48" s="223"/>
      <c r="BWF48" s="225"/>
      <c r="BWG48" s="220"/>
      <c r="BWH48" s="221"/>
      <c r="BWI48" s="222"/>
      <c r="BWJ48" s="222"/>
      <c r="BWK48" s="223"/>
      <c r="BWL48" s="223"/>
      <c r="BWM48" s="224"/>
      <c r="BWN48" s="223"/>
      <c r="BWO48" s="223"/>
      <c r="BWP48" s="223"/>
      <c r="BWQ48" s="223"/>
      <c r="BWR48" s="225"/>
      <c r="BWS48" s="220"/>
      <c r="BWT48" s="221"/>
      <c r="BWU48" s="222"/>
      <c r="BWV48" s="222"/>
      <c r="BWW48" s="223"/>
      <c r="BWX48" s="223"/>
      <c r="BWY48" s="224"/>
      <c r="BWZ48" s="223"/>
      <c r="BXA48" s="223"/>
      <c r="BXB48" s="223"/>
      <c r="BXC48" s="223"/>
      <c r="BXD48" s="225"/>
      <c r="BXE48" s="220"/>
      <c r="BXF48" s="221"/>
      <c r="BXG48" s="222"/>
      <c r="BXH48" s="222"/>
      <c r="BXI48" s="223"/>
      <c r="BXJ48" s="223"/>
      <c r="BXK48" s="224"/>
      <c r="BXL48" s="223"/>
      <c r="BXM48" s="223"/>
      <c r="BXN48" s="223"/>
      <c r="BXO48" s="223"/>
      <c r="BXP48" s="225"/>
      <c r="BXQ48" s="220"/>
      <c r="BXR48" s="221"/>
      <c r="BXS48" s="222"/>
      <c r="BXT48" s="222"/>
      <c r="BXU48" s="223"/>
      <c r="BXV48" s="223"/>
      <c r="BXW48" s="224"/>
      <c r="BXX48" s="223"/>
      <c r="BXY48" s="223"/>
      <c r="BXZ48" s="223"/>
      <c r="BYA48" s="223"/>
      <c r="BYB48" s="225"/>
      <c r="BYC48" s="220"/>
      <c r="BYD48" s="221"/>
      <c r="BYE48" s="222"/>
      <c r="BYF48" s="222"/>
      <c r="BYG48" s="223"/>
      <c r="BYH48" s="223"/>
      <c r="BYI48" s="224"/>
      <c r="BYJ48" s="223"/>
      <c r="BYK48" s="223"/>
      <c r="BYL48" s="223"/>
      <c r="BYM48" s="223"/>
      <c r="BYN48" s="225"/>
      <c r="BYO48" s="220"/>
      <c r="BYP48" s="221"/>
      <c r="BYQ48" s="222"/>
      <c r="BYR48" s="222"/>
      <c r="BYS48" s="223"/>
      <c r="BYT48" s="223"/>
      <c r="BYU48" s="224"/>
      <c r="BYV48" s="223"/>
      <c r="BYW48" s="223"/>
      <c r="BYX48" s="223"/>
      <c r="BYY48" s="223"/>
      <c r="BYZ48" s="225"/>
      <c r="BZA48" s="220"/>
      <c r="BZB48" s="221"/>
      <c r="BZC48" s="222"/>
      <c r="BZD48" s="222"/>
      <c r="BZE48" s="223"/>
      <c r="BZF48" s="223"/>
      <c r="BZG48" s="224"/>
      <c r="BZH48" s="223"/>
      <c r="BZI48" s="223"/>
      <c r="BZJ48" s="223"/>
      <c r="BZK48" s="223"/>
      <c r="BZL48" s="225"/>
      <c r="BZM48" s="220"/>
      <c r="BZN48" s="221"/>
      <c r="BZO48" s="222"/>
      <c r="BZP48" s="222"/>
      <c r="BZQ48" s="223"/>
      <c r="BZR48" s="223"/>
      <c r="BZS48" s="224"/>
      <c r="BZT48" s="223"/>
      <c r="BZU48" s="223"/>
      <c r="BZV48" s="223"/>
      <c r="BZW48" s="223"/>
      <c r="BZX48" s="225"/>
      <c r="BZY48" s="220"/>
      <c r="BZZ48" s="221"/>
      <c r="CAA48" s="222"/>
      <c r="CAB48" s="222"/>
      <c r="CAC48" s="223"/>
      <c r="CAD48" s="223"/>
      <c r="CAE48" s="224"/>
      <c r="CAF48" s="223"/>
      <c r="CAG48" s="223"/>
      <c r="CAH48" s="223"/>
      <c r="CAI48" s="223"/>
      <c r="CAJ48" s="225"/>
      <c r="CAK48" s="220"/>
      <c r="CAL48" s="221"/>
      <c r="CAM48" s="222"/>
      <c r="CAN48" s="222"/>
      <c r="CAO48" s="223"/>
      <c r="CAP48" s="223"/>
      <c r="CAQ48" s="224"/>
      <c r="CAR48" s="223"/>
      <c r="CAS48" s="223"/>
      <c r="CAT48" s="223"/>
      <c r="CAU48" s="223"/>
      <c r="CAV48" s="225"/>
      <c r="CAW48" s="220"/>
      <c r="CAX48" s="221"/>
      <c r="CAY48" s="222"/>
      <c r="CAZ48" s="222"/>
      <c r="CBA48" s="223"/>
      <c r="CBB48" s="223"/>
      <c r="CBC48" s="224"/>
      <c r="CBD48" s="223"/>
      <c r="CBE48" s="223"/>
      <c r="CBF48" s="223"/>
      <c r="CBG48" s="223"/>
      <c r="CBH48" s="225"/>
      <c r="CBI48" s="220"/>
      <c r="CBJ48" s="221"/>
      <c r="CBK48" s="222"/>
      <c r="CBL48" s="222"/>
      <c r="CBM48" s="223"/>
      <c r="CBN48" s="223"/>
      <c r="CBO48" s="224"/>
      <c r="CBP48" s="223"/>
      <c r="CBQ48" s="223"/>
      <c r="CBR48" s="223"/>
      <c r="CBS48" s="223"/>
      <c r="CBT48" s="225"/>
      <c r="CBU48" s="220"/>
      <c r="CBV48" s="221"/>
      <c r="CBW48" s="222"/>
      <c r="CBX48" s="222"/>
      <c r="CBY48" s="223"/>
      <c r="CBZ48" s="223"/>
      <c r="CCA48" s="224"/>
      <c r="CCB48" s="223"/>
      <c r="CCC48" s="223"/>
      <c r="CCD48" s="223"/>
      <c r="CCE48" s="223"/>
      <c r="CCF48" s="225"/>
      <c r="CCG48" s="220"/>
      <c r="CCH48" s="221"/>
      <c r="CCI48" s="222"/>
      <c r="CCJ48" s="222"/>
      <c r="CCK48" s="223"/>
      <c r="CCL48" s="223"/>
      <c r="CCM48" s="224"/>
      <c r="CCN48" s="223"/>
      <c r="CCO48" s="223"/>
      <c r="CCP48" s="223"/>
      <c r="CCQ48" s="223"/>
      <c r="CCR48" s="225"/>
      <c r="CCS48" s="220"/>
      <c r="CCT48" s="221"/>
      <c r="CCU48" s="222"/>
      <c r="CCV48" s="222"/>
      <c r="CCW48" s="223"/>
      <c r="CCX48" s="223"/>
      <c r="CCY48" s="224"/>
      <c r="CCZ48" s="223"/>
      <c r="CDA48" s="223"/>
      <c r="CDB48" s="223"/>
      <c r="CDC48" s="223"/>
      <c r="CDD48" s="225"/>
      <c r="CDE48" s="220"/>
      <c r="CDF48" s="221"/>
      <c r="CDG48" s="222"/>
      <c r="CDH48" s="222"/>
      <c r="CDI48" s="223"/>
      <c r="CDJ48" s="223"/>
      <c r="CDK48" s="224"/>
      <c r="CDL48" s="223"/>
      <c r="CDM48" s="223"/>
      <c r="CDN48" s="223"/>
      <c r="CDO48" s="223"/>
      <c r="CDP48" s="225"/>
      <c r="CDQ48" s="220"/>
      <c r="CDR48" s="221"/>
      <c r="CDS48" s="222"/>
      <c r="CDT48" s="222"/>
      <c r="CDU48" s="223"/>
      <c r="CDV48" s="223"/>
      <c r="CDW48" s="224"/>
      <c r="CDX48" s="223"/>
      <c r="CDY48" s="223"/>
      <c r="CDZ48" s="223"/>
      <c r="CEA48" s="223"/>
      <c r="CEB48" s="225"/>
      <c r="CEC48" s="220"/>
      <c r="CED48" s="221"/>
      <c r="CEE48" s="222"/>
      <c r="CEF48" s="222"/>
      <c r="CEG48" s="223"/>
      <c r="CEH48" s="223"/>
      <c r="CEI48" s="224"/>
      <c r="CEJ48" s="223"/>
      <c r="CEK48" s="223"/>
      <c r="CEL48" s="223"/>
      <c r="CEM48" s="223"/>
      <c r="CEN48" s="225"/>
      <c r="CEO48" s="220"/>
      <c r="CEP48" s="221"/>
      <c r="CEQ48" s="222"/>
      <c r="CER48" s="222"/>
      <c r="CES48" s="223"/>
      <c r="CET48" s="223"/>
      <c r="CEU48" s="224"/>
      <c r="CEV48" s="223"/>
      <c r="CEW48" s="223"/>
      <c r="CEX48" s="223"/>
      <c r="CEY48" s="223"/>
      <c r="CEZ48" s="225"/>
      <c r="CFA48" s="220"/>
      <c r="CFB48" s="221"/>
      <c r="CFC48" s="222"/>
      <c r="CFD48" s="222"/>
      <c r="CFE48" s="223"/>
      <c r="CFF48" s="223"/>
      <c r="CFG48" s="224"/>
      <c r="CFH48" s="223"/>
      <c r="CFI48" s="223"/>
      <c r="CFJ48" s="223"/>
      <c r="CFK48" s="223"/>
      <c r="CFL48" s="225"/>
      <c r="CFM48" s="220"/>
      <c r="CFN48" s="221"/>
      <c r="CFO48" s="222"/>
      <c r="CFP48" s="222"/>
      <c r="CFQ48" s="223"/>
      <c r="CFR48" s="223"/>
      <c r="CFS48" s="224"/>
      <c r="CFT48" s="223"/>
      <c r="CFU48" s="223"/>
      <c r="CFV48" s="223"/>
      <c r="CFW48" s="223"/>
      <c r="CFX48" s="225"/>
      <c r="CFY48" s="220"/>
      <c r="CFZ48" s="221"/>
      <c r="CGA48" s="222"/>
      <c r="CGB48" s="222"/>
      <c r="CGC48" s="223"/>
      <c r="CGD48" s="223"/>
      <c r="CGE48" s="224"/>
      <c r="CGF48" s="223"/>
      <c r="CGG48" s="223"/>
      <c r="CGH48" s="223"/>
      <c r="CGI48" s="223"/>
      <c r="CGJ48" s="225"/>
      <c r="CGK48" s="220"/>
      <c r="CGL48" s="221"/>
      <c r="CGM48" s="222"/>
      <c r="CGN48" s="222"/>
      <c r="CGO48" s="223"/>
      <c r="CGP48" s="223"/>
      <c r="CGQ48" s="224"/>
      <c r="CGR48" s="223"/>
      <c r="CGS48" s="223"/>
      <c r="CGT48" s="223"/>
      <c r="CGU48" s="223"/>
      <c r="CGV48" s="225"/>
      <c r="CGW48" s="220"/>
      <c r="CGX48" s="221"/>
      <c r="CGY48" s="222"/>
      <c r="CGZ48" s="222"/>
      <c r="CHA48" s="223"/>
      <c r="CHB48" s="223"/>
      <c r="CHC48" s="224"/>
      <c r="CHD48" s="223"/>
      <c r="CHE48" s="223"/>
      <c r="CHF48" s="223"/>
      <c r="CHG48" s="223"/>
      <c r="CHH48" s="225"/>
      <c r="CHI48" s="220"/>
      <c r="CHJ48" s="221"/>
      <c r="CHK48" s="222"/>
      <c r="CHL48" s="222"/>
      <c r="CHM48" s="223"/>
      <c r="CHN48" s="223"/>
      <c r="CHO48" s="224"/>
      <c r="CHP48" s="223"/>
      <c r="CHQ48" s="223"/>
      <c r="CHR48" s="223"/>
      <c r="CHS48" s="223"/>
      <c r="CHT48" s="225"/>
      <c r="CHU48" s="220"/>
      <c r="CHV48" s="221"/>
      <c r="CHW48" s="222"/>
      <c r="CHX48" s="222"/>
      <c r="CHY48" s="223"/>
      <c r="CHZ48" s="223"/>
      <c r="CIA48" s="224"/>
      <c r="CIB48" s="223"/>
      <c r="CIC48" s="223"/>
      <c r="CID48" s="223"/>
      <c r="CIE48" s="223"/>
      <c r="CIF48" s="225"/>
      <c r="CIG48" s="220"/>
      <c r="CIH48" s="221"/>
      <c r="CII48" s="222"/>
      <c r="CIJ48" s="222"/>
      <c r="CIK48" s="223"/>
      <c r="CIL48" s="223"/>
      <c r="CIM48" s="224"/>
      <c r="CIN48" s="223"/>
      <c r="CIO48" s="223"/>
      <c r="CIP48" s="223"/>
      <c r="CIQ48" s="223"/>
      <c r="CIR48" s="225"/>
      <c r="CIS48" s="220"/>
      <c r="CIT48" s="221"/>
      <c r="CIU48" s="222"/>
      <c r="CIV48" s="222"/>
      <c r="CIW48" s="223"/>
      <c r="CIX48" s="223"/>
      <c r="CIY48" s="224"/>
      <c r="CIZ48" s="223"/>
      <c r="CJA48" s="223"/>
      <c r="CJB48" s="223"/>
      <c r="CJC48" s="223"/>
      <c r="CJD48" s="225"/>
      <c r="CJE48" s="220"/>
      <c r="CJF48" s="221"/>
      <c r="CJG48" s="222"/>
      <c r="CJH48" s="222"/>
      <c r="CJI48" s="223"/>
      <c r="CJJ48" s="223"/>
      <c r="CJK48" s="224"/>
      <c r="CJL48" s="223"/>
      <c r="CJM48" s="223"/>
      <c r="CJN48" s="223"/>
      <c r="CJO48" s="223"/>
      <c r="CJP48" s="225"/>
      <c r="CJQ48" s="220"/>
      <c r="CJR48" s="221"/>
      <c r="CJS48" s="222"/>
      <c r="CJT48" s="222"/>
      <c r="CJU48" s="223"/>
      <c r="CJV48" s="223"/>
      <c r="CJW48" s="224"/>
      <c r="CJX48" s="223"/>
      <c r="CJY48" s="223"/>
      <c r="CJZ48" s="223"/>
      <c r="CKA48" s="223"/>
      <c r="CKB48" s="225"/>
      <c r="CKC48" s="220"/>
      <c r="CKD48" s="221"/>
      <c r="CKE48" s="222"/>
      <c r="CKF48" s="222"/>
      <c r="CKG48" s="223"/>
      <c r="CKH48" s="223"/>
      <c r="CKI48" s="224"/>
      <c r="CKJ48" s="223"/>
      <c r="CKK48" s="223"/>
      <c r="CKL48" s="223"/>
      <c r="CKM48" s="223"/>
      <c r="CKN48" s="225"/>
      <c r="CKO48" s="220"/>
      <c r="CKP48" s="221"/>
      <c r="CKQ48" s="222"/>
      <c r="CKR48" s="222"/>
      <c r="CKS48" s="223"/>
      <c r="CKT48" s="223"/>
      <c r="CKU48" s="224"/>
      <c r="CKV48" s="223"/>
      <c r="CKW48" s="223"/>
      <c r="CKX48" s="223"/>
      <c r="CKY48" s="223"/>
      <c r="CKZ48" s="225"/>
      <c r="CLA48" s="220"/>
      <c r="CLB48" s="221"/>
      <c r="CLC48" s="222"/>
      <c r="CLD48" s="222"/>
      <c r="CLE48" s="223"/>
      <c r="CLF48" s="223"/>
      <c r="CLG48" s="224"/>
      <c r="CLH48" s="223"/>
      <c r="CLI48" s="223"/>
      <c r="CLJ48" s="223"/>
      <c r="CLK48" s="223"/>
      <c r="CLL48" s="225"/>
      <c r="CLM48" s="220"/>
      <c r="CLN48" s="221"/>
      <c r="CLO48" s="222"/>
      <c r="CLP48" s="222"/>
      <c r="CLQ48" s="223"/>
      <c r="CLR48" s="223"/>
      <c r="CLS48" s="224"/>
      <c r="CLT48" s="223"/>
      <c r="CLU48" s="223"/>
      <c r="CLV48" s="223"/>
      <c r="CLW48" s="223"/>
      <c r="CLX48" s="225"/>
      <c r="CLY48" s="220"/>
      <c r="CLZ48" s="221"/>
      <c r="CMA48" s="222"/>
      <c r="CMB48" s="222"/>
      <c r="CMC48" s="223"/>
      <c r="CMD48" s="223"/>
      <c r="CME48" s="224"/>
      <c r="CMF48" s="223"/>
      <c r="CMG48" s="223"/>
      <c r="CMH48" s="223"/>
      <c r="CMI48" s="223"/>
      <c r="CMJ48" s="225"/>
      <c r="CMK48" s="220"/>
      <c r="CML48" s="221"/>
      <c r="CMM48" s="222"/>
      <c r="CMN48" s="222"/>
      <c r="CMO48" s="223"/>
      <c r="CMP48" s="223"/>
      <c r="CMQ48" s="224"/>
      <c r="CMR48" s="223"/>
      <c r="CMS48" s="223"/>
      <c r="CMT48" s="223"/>
      <c r="CMU48" s="223"/>
      <c r="CMV48" s="225"/>
      <c r="CMW48" s="220"/>
      <c r="CMX48" s="221"/>
      <c r="CMY48" s="222"/>
      <c r="CMZ48" s="222"/>
      <c r="CNA48" s="223"/>
      <c r="CNB48" s="223"/>
      <c r="CNC48" s="224"/>
      <c r="CND48" s="223"/>
      <c r="CNE48" s="223"/>
      <c r="CNF48" s="223"/>
      <c r="CNG48" s="223"/>
      <c r="CNH48" s="225"/>
      <c r="CNI48" s="220"/>
      <c r="CNJ48" s="221"/>
      <c r="CNK48" s="222"/>
      <c r="CNL48" s="222"/>
      <c r="CNM48" s="223"/>
      <c r="CNN48" s="223"/>
      <c r="CNO48" s="224"/>
      <c r="CNP48" s="223"/>
      <c r="CNQ48" s="223"/>
      <c r="CNR48" s="223"/>
      <c r="CNS48" s="223"/>
      <c r="CNT48" s="225"/>
      <c r="CNU48" s="220"/>
      <c r="CNV48" s="221"/>
      <c r="CNW48" s="222"/>
      <c r="CNX48" s="222"/>
      <c r="CNY48" s="223"/>
      <c r="CNZ48" s="223"/>
      <c r="COA48" s="224"/>
      <c r="COB48" s="223"/>
      <c r="COC48" s="223"/>
      <c r="COD48" s="223"/>
      <c r="COE48" s="223"/>
      <c r="COF48" s="225"/>
      <c r="COG48" s="220"/>
      <c r="COH48" s="221"/>
      <c r="COI48" s="222"/>
      <c r="COJ48" s="222"/>
      <c r="COK48" s="223"/>
      <c r="COL48" s="223"/>
      <c r="COM48" s="224"/>
      <c r="CON48" s="223"/>
      <c r="COO48" s="223"/>
      <c r="COP48" s="223"/>
      <c r="COQ48" s="223"/>
      <c r="COR48" s="225"/>
      <c r="COS48" s="220"/>
      <c r="COT48" s="221"/>
      <c r="COU48" s="222"/>
      <c r="COV48" s="222"/>
      <c r="COW48" s="223"/>
      <c r="COX48" s="223"/>
      <c r="COY48" s="224"/>
      <c r="COZ48" s="223"/>
      <c r="CPA48" s="223"/>
      <c r="CPB48" s="223"/>
      <c r="CPC48" s="223"/>
      <c r="CPD48" s="225"/>
      <c r="CPE48" s="220"/>
      <c r="CPF48" s="221"/>
      <c r="CPG48" s="222"/>
      <c r="CPH48" s="222"/>
      <c r="CPI48" s="223"/>
      <c r="CPJ48" s="223"/>
      <c r="CPK48" s="224"/>
      <c r="CPL48" s="223"/>
      <c r="CPM48" s="223"/>
      <c r="CPN48" s="223"/>
      <c r="CPO48" s="223"/>
      <c r="CPP48" s="225"/>
      <c r="CPQ48" s="220"/>
      <c r="CPR48" s="221"/>
      <c r="CPS48" s="222"/>
      <c r="CPT48" s="222"/>
      <c r="CPU48" s="223"/>
      <c r="CPV48" s="223"/>
      <c r="CPW48" s="224"/>
      <c r="CPX48" s="223"/>
      <c r="CPY48" s="223"/>
      <c r="CPZ48" s="223"/>
      <c r="CQA48" s="223"/>
      <c r="CQB48" s="225"/>
      <c r="CQC48" s="220"/>
      <c r="CQD48" s="221"/>
      <c r="CQE48" s="222"/>
      <c r="CQF48" s="222"/>
      <c r="CQG48" s="223"/>
      <c r="CQH48" s="223"/>
      <c r="CQI48" s="224"/>
      <c r="CQJ48" s="223"/>
      <c r="CQK48" s="223"/>
      <c r="CQL48" s="223"/>
      <c r="CQM48" s="223"/>
      <c r="CQN48" s="225"/>
      <c r="CQO48" s="220"/>
      <c r="CQP48" s="221"/>
      <c r="CQQ48" s="222"/>
      <c r="CQR48" s="222"/>
      <c r="CQS48" s="223"/>
      <c r="CQT48" s="223"/>
      <c r="CQU48" s="224"/>
      <c r="CQV48" s="223"/>
      <c r="CQW48" s="223"/>
      <c r="CQX48" s="223"/>
      <c r="CQY48" s="223"/>
      <c r="CQZ48" s="225"/>
      <c r="CRA48" s="220"/>
      <c r="CRB48" s="221"/>
      <c r="CRC48" s="222"/>
      <c r="CRD48" s="222"/>
      <c r="CRE48" s="223"/>
      <c r="CRF48" s="223"/>
      <c r="CRG48" s="224"/>
      <c r="CRH48" s="223"/>
      <c r="CRI48" s="223"/>
      <c r="CRJ48" s="223"/>
      <c r="CRK48" s="223"/>
      <c r="CRL48" s="225"/>
      <c r="CRM48" s="220"/>
      <c r="CRN48" s="221"/>
      <c r="CRO48" s="222"/>
      <c r="CRP48" s="222"/>
      <c r="CRQ48" s="223"/>
      <c r="CRR48" s="223"/>
      <c r="CRS48" s="224"/>
      <c r="CRT48" s="223"/>
      <c r="CRU48" s="223"/>
      <c r="CRV48" s="223"/>
      <c r="CRW48" s="223"/>
      <c r="CRX48" s="225"/>
      <c r="CRY48" s="220"/>
      <c r="CRZ48" s="221"/>
      <c r="CSA48" s="222"/>
      <c r="CSB48" s="222"/>
      <c r="CSC48" s="223"/>
      <c r="CSD48" s="223"/>
      <c r="CSE48" s="224"/>
      <c r="CSF48" s="223"/>
      <c r="CSG48" s="223"/>
      <c r="CSH48" s="223"/>
      <c r="CSI48" s="223"/>
      <c r="CSJ48" s="225"/>
      <c r="CSK48" s="220"/>
      <c r="CSL48" s="221"/>
      <c r="CSM48" s="222"/>
      <c r="CSN48" s="222"/>
      <c r="CSO48" s="223"/>
      <c r="CSP48" s="223"/>
      <c r="CSQ48" s="224"/>
      <c r="CSR48" s="223"/>
      <c r="CSS48" s="223"/>
      <c r="CST48" s="223"/>
      <c r="CSU48" s="223"/>
      <c r="CSV48" s="225"/>
      <c r="CSW48" s="220"/>
      <c r="CSX48" s="221"/>
      <c r="CSY48" s="222"/>
      <c r="CSZ48" s="222"/>
      <c r="CTA48" s="223"/>
      <c r="CTB48" s="223"/>
      <c r="CTC48" s="224"/>
      <c r="CTD48" s="223"/>
      <c r="CTE48" s="223"/>
      <c r="CTF48" s="223"/>
      <c r="CTG48" s="223"/>
      <c r="CTH48" s="225"/>
      <c r="CTI48" s="220"/>
      <c r="CTJ48" s="221"/>
      <c r="CTK48" s="222"/>
      <c r="CTL48" s="222"/>
      <c r="CTM48" s="223"/>
      <c r="CTN48" s="223"/>
      <c r="CTO48" s="224"/>
      <c r="CTP48" s="223"/>
      <c r="CTQ48" s="223"/>
      <c r="CTR48" s="223"/>
      <c r="CTS48" s="223"/>
      <c r="CTT48" s="225"/>
      <c r="CTU48" s="220"/>
      <c r="CTV48" s="221"/>
      <c r="CTW48" s="222"/>
      <c r="CTX48" s="222"/>
      <c r="CTY48" s="223"/>
      <c r="CTZ48" s="223"/>
      <c r="CUA48" s="224"/>
      <c r="CUB48" s="223"/>
      <c r="CUC48" s="223"/>
      <c r="CUD48" s="223"/>
      <c r="CUE48" s="223"/>
      <c r="CUF48" s="225"/>
      <c r="CUG48" s="220"/>
      <c r="CUH48" s="221"/>
      <c r="CUI48" s="222"/>
      <c r="CUJ48" s="222"/>
      <c r="CUK48" s="223"/>
      <c r="CUL48" s="223"/>
      <c r="CUM48" s="224"/>
      <c r="CUN48" s="223"/>
      <c r="CUO48" s="223"/>
      <c r="CUP48" s="223"/>
      <c r="CUQ48" s="223"/>
      <c r="CUR48" s="225"/>
      <c r="CUS48" s="220"/>
      <c r="CUT48" s="221"/>
      <c r="CUU48" s="222"/>
      <c r="CUV48" s="222"/>
      <c r="CUW48" s="223"/>
      <c r="CUX48" s="223"/>
      <c r="CUY48" s="224"/>
      <c r="CUZ48" s="223"/>
      <c r="CVA48" s="223"/>
      <c r="CVB48" s="223"/>
      <c r="CVC48" s="223"/>
      <c r="CVD48" s="225"/>
      <c r="CVE48" s="220"/>
      <c r="CVF48" s="221"/>
      <c r="CVG48" s="222"/>
      <c r="CVH48" s="222"/>
      <c r="CVI48" s="223"/>
      <c r="CVJ48" s="223"/>
      <c r="CVK48" s="224"/>
      <c r="CVL48" s="223"/>
      <c r="CVM48" s="223"/>
      <c r="CVN48" s="223"/>
      <c r="CVO48" s="223"/>
      <c r="CVP48" s="225"/>
      <c r="CVQ48" s="220"/>
      <c r="CVR48" s="221"/>
      <c r="CVS48" s="222"/>
      <c r="CVT48" s="222"/>
      <c r="CVU48" s="223"/>
      <c r="CVV48" s="223"/>
      <c r="CVW48" s="224"/>
      <c r="CVX48" s="223"/>
      <c r="CVY48" s="223"/>
      <c r="CVZ48" s="223"/>
      <c r="CWA48" s="223"/>
      <c r="CWB48" s="225"/>
      <c r="CWC48" s="220"/>
      <c r="CWD48" s="221"/>
      <c r="CWE48" s="222"/>
      <c r="CWF48" s="222"/>
      <c r="CWG48" s="223"/>
      <c r="CWH48" s="223"/>
      <c r="CWI48" s="224"/>
      <c r="CWJ48" s="223"/>
      <c r="CWK48" s="223"/>
      <c r="CWL48" s="223"/>
      <c r="CWM48" s="223"/>
      <c r="CWN48" s="225"/>
      <c r="CWO48" s="220"/>
      <c r="CWP48" s="221"/>
      <c r="CWQ48" s="222"/>
      <c r="CWR48" s="222"/>
      <c r="CWS48" s="223"/>
      <c r="CWT48" s="223"/>
      <c r="CWU48" s="224"/>
      <c r="CWV48" s="223"/>
      <c r="CWW48" s="223"/>
      <c r="CWX48" s="223"/>
      <c r="CWY48" s="223"/>
      <c r="CWZ48" s="225"/>
      <c r="CXA48" s="220"/>
      <c r="CXB48" s="221"/>
      <c r="CXC48" s="222"/>
      <c r="CXD48" s="222"/>
      <c r="CXE48" s="223"/>
      <c r="CXF48" s="223"/>
      <c r="CXG48" s="224"/>
      <c r="CXH48" s="223"/>
      <c r="CXI48" s="223"/>
      <c r="CXJ48" s="223"/>
      <c r="CXK48" s="223"/>
      <c r="CXL48" s="225"/>
      <c r="CXM48" s="220"/>
      <c r="CXN48" s="221"/>
      <c r="CXO48" s="222"/>
      <c r="CXP48" s="222"/>
      <c r="CXQ48" s="223"/>
      <c r="CXR48" s="223"/>
      <c r="CXS48" s="224"/>
      <c r="CXT48" s="223"/>
      <c r="CXU48" s="223"/>
      <c r="CXV48" s="223"/>
      <c r="CXW48" s="223"/>
      <c r="CXX48" s="225"/>
      <c r="CXY48" s="220"/>
      <c r="CXZ48" s="221"/>
      <c r="CYA48" s="222"/>
      <c r="CYB48" s="222"/>
      <c r="CYC48" s="223"/>
      <c r="CYD48" s="223"/>
      <c r="CYE48" s="224"/>
      <c r="CYF48" s="223"/>
      <c r="CYG48" s="223"/>
      <c r="CYH48" s="223"/>
      <c r="CYI48" s="223"/>
      <c r="CYJ48" s="225"/>
      <c r="CYK48" s="220"/>
      <c r="CYL48" s="221"/>
      <c r="CYM48" s="222"/>
      <c r="CYN48" s="222"/>
      <c r="CYO48" s="223"/>
      <c r="CYP48" s="223"/>
      <c r="CYQ48" s="224"/>
      <c r="CYR48" s="223"/>
      <c r="CYS48" s="223"/>
      <c r="CYT48" s="223"/>
      <c r="CYU48" s="223"/>
      <c r="CYV48" s="225"/>
      <c r="CYW48" s="220"/>
      <c r="CYX48" s="221"/>
      <c r="CYY48" s="222"/>
      <c r="CYZ48" s="222"/>
      <c r="CZA48" s="223"/>
      <c r="CZB48" s="223"/>
      <c r="CZC48" s="224"/>
      <c r="CZD48" s="223"/>
      <c r="CZE48" s="223"/>
      <c r="CZF48" s="223"/>
      <c r="CZG48" s="223"/>
      <c r="CZH48" s="225"/>
      <c r="CZI48" s="220"/>
      <c r="CZJ48" s="221"/>
      <c r="CZK48" s="222"/>
      <c r="CZL48" s="222"/>
      <c r="CZM48" s="223"/>
      <c r="CZN48" s="223"/>
      <c r="CZO48" s="224"/>
      <c r="CZP48" s="223"/>
      <c r="CZQ48" s="223"/>
      <c r="CZR48" s="223"/>
      <c r="CZS48" s="223"/>
      <c r="CZT48" s="225"/>
      <c r="CZU48" s="220"/>
      <c r="CZV48" s="221"/>
      <c r="CZW48" s="222"/>
      <c r="CZX48" s="222"/>
      <c r="CZY48" s="223"/>
      <c r="CZZ48" s="223"/>
      <c r="DAA48" s="224"/>
      <c r="DAB48" s="223"/>
      <c r="DAC48" s="223"/>
      <c r="DAD48" s="223"/>
      <c r="DAE48" s="223"/>
      <c r="DAF48" s="225"/>
      <c r="DAG48" s="220"/>
      <c r="DAH48" s="221"/>
      <c r="DAI48" s="222"/>
      <c r="DAJ48" s="222"/>
      <c r="DAK48" s="223"/>
      <c r="DAL48" s="223"/>
      <c r="DAM48" s="224"/>
      <c r="DAN48" s="223"/>
      <c r="DAO48" s="223"/>
      <c r="DAP48" s="223"/>
      <c r="DAQ48" s="223"/>
      <c r="DAR48" s="225"/>
      <c r="DAS48" s="220"/>
      <c r="DAT48" s="221"/>
      <c r="DAU48" s="222"/>
      <c r="DAV48" s="222"/>
      <c r="DAW48" s="223"/>
      <c r="DAX48" s="223"/>
      <c r="DAY48" s="224"/>
      <c r="DAZ48" s="223"/>
      <c r="DBA48" s="223"/>
      <c r="DBB48" s="223"/>
      <c r="DBC48" s="223"/>
      <c r="DBD48" s="225"/>
      <c r="DBE48" s="220"/>
      <c r="DBF48" s="221"/>
      <c r="DBG48" s="222"/>
      <c r="DBH48" s="222"/>
      <c r="DBI48" s="223"/>
      <c r="DBJ48" s="223"/>
      <c r="DBK48" s="224"/>
      <c r="DBL48" s="223"/>
      <c r="DBM48" s="223"/>
      <c r="DBN48" s="223"/>
      <c r="DBO48" s="223"/>
      <c r="DBP48" s="225"/>
      <c r="DBQ48" s="220"/>
      <c r="DBR48" s="221"/>
      <c r="DBS48" s="222"/>
      <c r="DBT48" s="222"/>
      <c r="DBU48" s="223"/>
      <c r="DBV48" s="223"/>
      <c r="DBW48" s="224"/>
      <c r="DBX48" s="223"/>
      <c r="DBY48" s="223"/>
      <c r="DBZ48" s="223"/>
      <c r="DCA48" s="223"/>
      <c r="DCB48" s="225"/>
      <c r="DCC48" s="220"/>
      <c r="DCD48" s="221"/>
      <c r="DCE48" s="222"/>
      <c r="DCF48" s="222"/>
      <c r="DCG48" s="223"/>
      <c r="DCH48" s="223"/>
      <c r="DCI48" s="224"/>
      <c r="DCJ48" s="223"/>
      <c r="DCK48" s="223"/>
      <c r="DCL48" s="223"/>
      <c r="DCM48" s="223"/>
      <c r="DCN48" s="225"/>
      <c r="DCO48" s="220"/>
      <c r="DCP48" s="221"/>
      <c r="DCQ48" s="222"/>
      <c r="DCR48" s="222"/>
      <c r="DCS48" s="223"/>
      <c r="DCT48" s="223"/>
      <c r="DCU48" s="224"/>
      <c r="DCV48" s="223"/>
      <c r="DCW48" s="223"/>
      <c r="DCX48" s="223"/>
      <c r="DCY48" s="223"/>
      <c r="DCZ48" s="225"/>
      <c r="DDA48" s="220"/>
      <c r="DDB48" s="221"/>
      <c r="DDC48" s="222"/>
      <c r="DDD48" s="222"/>
      <c r="DDE48" s="223"/>
      <c r="DDF48" s="223"/>
      <c r="DDG48" s="224"/>
      <c r="DDH48" s="223"/>
      <c r="DDI48" s="223"/>
      <c r="DDJ48" s="223"/>
      <c r="DDK48" s="223"/>
      <c r="DDL48" s="225"/>
      <c r="DDM48" s="220"/>
      <c r="DDN48" s="221"/>
      <c r="DDO48" s="222"/>
      <c r="DDP48" s="222"/>
      <c r="DDQ48" s="223"/>
      <c r="DDR48" s="223"/>
      <c r="DDS48" s="224"/>
      <c r="DDT48" s="223"/>
      <c r="DDU48" s="223"/>
      <c r="DDV48" s="223"/>
      <c r="DDW48" s="223"/>
      <c r="DDX48" s="225"/>
      <c r="DDY48" s="220"/>
      <c r="DDZ48" s="221"/>
      <c r="DEA48" s="222"/>
      <c r="DEB48" s="222"/>
      <c r="DEC48" s="223"/>
      <c r="DED48" s="223"/>
      <c r="DEE48" s="224"/>
      <c r="DEF48" s="223"/>
      <c r="DEG48" s="223"/>
      <c r="DEH48" s="223"/>
      <c r="DEI48" s="223"/>
      <c r="DEJ48" s="225"/>
      <c r="DEK48" s="220"/>
      <c r="DEL48" s="221"/>
      <c r="DEM48" s="222"/>
      <c r="DEN48" s="222"/>
      <c r="DEO48" s="223"/>
      <c r="DEP48" s="223"/>
      <c r="DEQ48" s="224"/>
      <c r="DER48" s="223"/>
      <c r="DES48" s="223"/>
      <c r="DET48" s="223"/>
      <c r="DEU48" s="223"/>
      <c r="DEV48" s="225"/>
      <c r="DEW48" s="220"/>
      <c r="DEX48" s="221"/>
      <c r="DEY48" s="222"/>
      <c r="DEZ48" s="222"/>
      <c r="DFA48" s="223"/>
      <c r="DFB48" s="223"/>
      <c r="DFC48" s="224"/>
      <c r="DFD48" s="223"/>
      <c r="DFE48" s="223"/>
      <c r="DFF48" s="223"/>
      <c r="DFG48" s="223"/>
      <c r="DFH48" s="225"/>
      <c r="DFI48" s="220"/>
      <c r="DFJ48" s="221"/>
      <c r="DFK48" s="222"/>
      <c r="DFL48" s="222"/>
      <c r="DFM48" s="223"/>
      <c r="DFN48" s="223"/>
      <c r="DFO48" s="224"/>
      <c r="DFP48" s="223"/>
      <c r="DFQ48" s="223"/>
      <c r="DFR48" s="223"/>
      <c r="DFS48" s="223"/>
      <c r="DFT48" s="225"/>
      <c r="DFU48" s="220"/>
      <c r="DFV48" s="221"/>
      <c r="DFW48" s="222"/>
      <c r="DFX48" s="222"/>
      <c r="DFY48" s="223"/>
      <c r="DFZ48" s="223"/>
      <c r="DGA48" s="224"/>
      <c r="DGB48" s="223"/>
      <c r="DGC48" s="223"/>
      <c r="DGD48" s="223"/>
      <c r="DGE48" s="223"/>
      <c r="DGF48" s="225"/>
      <c r="DGG48" s="220"/>
      <c r="DGH48" s="221"/>
      <c r="DGI48" s="222"/>
      <c r="DGJ48" s="222"/>
      <c r="DGK48" s="223"/>
      <c r="DGL48" s="223"/>
      <c r="DGM48" s="224"/>
      <c r="DGN48" s="223"/>
      <c r="DGO48" s="223"/>
      <c r="DGP48" s="223"/>
      <c r="DGQ48" s="223"/>
      <c r="DGR48" s="225"/>
      <c r="DGS48" s="220"/>
      <c r="DGT48" s="221"/>
      <c r="DGU48" s="222"/>
      <c r="DGV48" s="222"/>
      <c r="DGW48" s="223"/>
      <c r="DGX48" s="223"/>
      <c r="DGY48" s="224"/>
      <c r="DGZ48" s="223"/>
      <c r="DHA48" s="223"/>
      <c r="DHB48" s="223"/>
      <c r="DHC48" s="223"/>
      <c r="DHD48" s="225"/>
      <c r="DHE48" s="220"/>
      <c r="DHF48" s="221"/>
      <c r="DHG48" s="222"/>
      <c r="DHH48" s="222"/>
      <c r="DHI48" s="223"/>
      <c r="DHJ48" s="223"/>
      <c r="DHK48" s="224"/>
      <c r="DHL48" s="223"/>
      <c r="DHM48" s="223"/>
      <c r="DHN48" s="223"/>
      <c r="DHO48" s="223"/>
      <c r="DHP48" s="225"/>
      <c r="DHQ48" s="220"/>
      <c r="DHR48" s="221"/>
      <c r="DHS48" s="222"/>
      <c r="DHT48" s="222"/>
      <c r="DHU48" s="223"/>
      <c r="DHV48" s="223"/>
      <c r="DHW48" s="224"/>
      <c r="DHX48" s="223"/>
      <c r="DHY48" s="223"/>
      <c r="DHZ48" s="223"/>
      <c r="DIA48" s="223"/>
      <c r="DIB48" s="225"/>
      <c r="DIC48" s="220"/>
      <c r="DID48" s="221"/>
      <c r="DIE48" s="222"/>
      <c r="DIF48" s="222"/>
      <c r="DIG48" s="223"/>
      <c r="DIH48" s="223"/>
      <c r="DII48" s="224"/>
      <c r="DIJ48" s="223"/>
      <c r="DIK48" s="223"/>
      <c r="DIL48" s="223"/>
      <c r="DIM48" s="223"/>
      <c r="DIN48" s="225"/>
      <c r="DIO48" s="220"/>
      <c r="DIP48" s="221"/>
      <c r="DIQ48" s="222"/>
      <c r="DIR48" s="222"/>
      <c r="DIS48" s="223"/>
      <c r="DIT48" s="223"/>
      <c r="DIU48" s="224"/>
      <c r="DIV48" s="223"/>
      <c r="DIW48" s="223"/>
      <c r="DIX48" s="223"/>
      <c r="DIY48" s="223"/>
      <c r="DIZ48" s="225"/>
      <c r="DJA48" s="220"/>
      <c r="DJB48" s="221"/>
      <c r="DJC48" s="222"/>
      <c r="DJD48" s="222"/>
      <c r="DJE48" s="223"/>
      <c r="DJF48" s="223"/>
      <c r="DJG48" s="224"/>
      <c r="DJH48" s="223"/>
      <c r="DJI48" s="223"/>
      <c r="DJJ48" s="223"/>
      <c r="DJK48" s="223"/>
      <c r="DJL48" s="225"/>
      <c r="DJM48" s="220"/>
      <c r="DJN48" s="221"/>
      <c r="DJO48" s="222"/>
      <c r="DJP48" s="222"/>
      <c r="DJQ48" s="223"/>
      <c r="DJR48" s="223"/>
      <c r="DJS48" s="224"/>
      <c r="DJT48" s="223"/>
      <c r="DJU48" s="223"/>
      <c r="DJV48" s="223"/>
      <c r="DJW48" s="223"/>
      <c r="DJX48" s="225"/>
      <c r="DJY48" s="220"/>
      <c r="DJZ48" s="221"/>
      <c r="DKA48" s="222"/>
      <c r="DKB48" s="222"/>
      <c r="DKC48" s="223"/>
      <c r="DKD48" s="223"/>
      <c r="DKE48" s="224"/>
      <c r="DKF48" s="223"/>
      <c r="DKG48" s="223"/>
      <c r="DKH48" s="223"/>
      <c r="DKI48" s="223"/>
      <c r="DKJ48" s="225"/>
      <c r="DKK48" s="220"/>
      <c r="DKL48" s="221"/>
      <c r="DKM48" s="222"/>
      <c r="DKN48" s="222"/>
      <c r="DKO48" s="223"/>
      <c r="DKP48" s="223"/>
      <c r="DKQ48" s="224"/>
      <c r="DKR48" s="223"/>
      <c r="DKS48" s="223"/>
      <c r="DKT48" s="223"/>
      <c r="DKU48" s="223"/>
      <c r="DKV48" s="225"/>
      <c r="DKW48" s="220"/>
      <c r="DKX48" s="221"/>
      <c r="DKY48" s="222"/>
      <c r="DKZ48" s="222"/>
      <c r="DLA48" s="223"/>
      <c r="DLB48" s="223"/>
      <c r="DLC48" s="224"/>
      <c r="DLD48" s="223"/>
      <c r="DLE48" s="223"/>
      <c r="DLF48" s="223"/>
      <c r="DLG48" s="223"/>
      <c r="DLH48" s="225"/>
      <c r="DLI48" s="220"/>
      <c r="DLJ48" s="221"/>
      <c r="DLK48" s="222"/>
      <c r="DLL48" s="222"/>
      <c r="DLM48" s="223"/>
      <c r="DLN48" s="223"/>
      <c r="DLO48" s="224"/>
      <c r="DLP48" s="223"/>
      <c r="DLQ48" s="223"/>
      <c r="DLR48" s="223"/>
      <c r="DLS48" s="223"/>
      <c r="DLT48" s="225"/>
      <c r="DLU48" s="220"/>
      <c r="DLV48" s="221"/>
      <c r="DLW48" s="222"/>
      <c r="DLX48" s="222"/>
      <c r="DLY48" s="223"/>
      <c r="DLZ48" s="223"/>
      <c r="DMA48" s="224"/>
      <c r="DMB48" s="223"/>
      <c r="DMC48" s="223"/>
      <c r="DMD48" s="223"/>
      <c r="DME48" s="223"/>
      <c r="DMF48" s="225"/>
      <c r="DMG48" s="220"/>
      <c r="DMH48" s="221"/>
      <c r="DMI48" s="222"/>
      <c r="DMJ48" s="222"/>
      <c r="DMK48" s="223"/>
      <c r="DML48" s="223"/>
      <c r="DMM48" s="224"/>
      <c r="DMN48" s="223"/>
      <c r="DMO48" s="223"/>
      <c r="DMP48" s="223"/>
      <c r="DMQ48" s="223"/>
      <c r="DMR48" s="225"/>
      <c r="DMS48" s="220"/>
      <c r="DMT48" s="221"/>
      <c r="DMU48" s="222"/>
      <c r="DMV48" s="222"/>
      <c r="DMW48" s="223"/>
      <c r="DMX48" s="223"/>
      <c r="DMY48" s="224"/>
      <c r="DMZ48" s="223"/>
      <c r="DNA48" s="223"/>
      <c r="DNB48" s="223"/>
      <c r="DNC48" s="223"/>
      <c r="DND48" s="225"/>
      <c r="DNE48" s="220"/>
      <c r="DNF48" s="221"/>
      <c r="DNG48" s="222"/>
      <c r="DNH48" s="222"/>
      <c r="DNI48" s="223"/>
      <c r="DNJ48" s="223"/>
      <c r="DNK48" s="224"/>
      <c r="DNL48" s="223"/>
      <c r="DNM48" s="223"/>
      <c r="DNN48" s="223"/>
      <c r="DNO48" s="223"/>
      <c r="DNP48" s="225"/>
      <c r="DNQ48" s="220"/>
      <c r="DNR48" s="221"/>
      <c r="DNS48" s="222"/>
      <c r="DNT48" s="222"/>
      <c r="DNU48" s="223"/>
      <c r="DNV48" s="223"/>
      <c r="DNW48" s="224"/>
      <c r="DNX48" s="223"/>
      <c r="DNY48" s="223"/>
      <c r="DNZ48" s="223"/>
      <c r="DOA48" s="223"/>
      <c r="DOB48" s="225"/>
      <c r="DOC48" s="220"/>
      <c r="DOD48" s="221"/>
      <c r="DOE48" s="222"/>
      <c r="DOF48" s="222"/>
      <c r="DOG48" s="223"/>
      <c r="DOH48" s="223"/>
      <c r="DOI48" s="224"/>
      <c r="DOJ48" s="223"/>
      <c r="DOK48" s="223"/>
      <c r="DOL48" s="223"/>
      <c r="DOM48" s="223"/>
      <c r="DON48" s="225"/>
      <c r="DOO48" s="220"/>
      <c r="DOP48" s="221"/>
      <c r="DOQ48" s="222"/>
      <c r="DOR48" s="222"/>
      <c r="DOS48" s="223"/>
      <c r="DOT48" s="223"/>
      <c r="DOU48" s="224"/>
      <c r="DOV48" s="223"/>
      <c r="DOW48" s="223"/>
      <c r="DOX48" s="223"/>
      <c r="DOY48" s="223"/>
      <c r="DOZ48" s="225"/>
      <c r="DPA48" s="220"/>
      <c r="DPB48" s="221"/>
      <c r="DPC48" s="222"/>
      <c r="DPD48" s="222"/>
      <c r="DPE48" s="223"/>
      <c r="DPF48" s="223"/>
      <c r="DPG48" s="224"/>
      <c r="DPH48" s="223"/>
      <c r="DPI48" s="223"/>
      <c r="DPJ48" s="223"/>
      <c r="DPK48" s="223"/>
      <c r="DPL48" s="225"/>
      <c r="DPM48" s="220"/>
      <c r="DPN48" s="221"/>
      <c r="DPO48" s="222"/>
      <c r="DPP48" s="222"/>
      <c r="DPQ48" s="223"/>
      <c r="DPR48" s="223"/>
      <c r="DPS48" s="224"/>
      <c r="DPT48" s="223"/>
      <c r="DPU48" s="223"/>
      <c r="DPV48" s="223"/>
      <c r="DPW48" s="223"/>
      <c r="DPX48" s="225"/>
      <c r="DPY48" s="220"/>
      <c r="DPZ48" s="221"/>
      <c r="DQA48" s="222"/>
      <c r="DQB48" s="222"/>
      <c r="DQC48" s="223"/>
      <c r="DQD48" s="223"/>
      <c r="DQE48" s="224"/>
      <c r="DQF48" s="223"/>
      <c r="DQG48" s="223"/>
      <c r="DQH48" s="223"/>
      <c r="DQI48" s="223"/>
      <c r="DQJ48" s="225"/>
      <c r="DQK48" s="220"/>
      <c r="DQL48" s="221"/>
      <c r="DQM48" s="222"/>
      <c r="DQN48" s="222"/>
      <c r="DQO48" s="223"/>
      <c r="DQP48" s="223"/>
      <c r="DQQ48" s="224"/>
      <c r="DQR48" s="223"/>
      <c r="DQS48" s="223"/>
      <c r="DQT48" s="223"/>
      <c r="DQU48" s="223"/>
      <c r="DQV48" s="225"/>
      <c r="DQW48" s="220"/>
      <c r="DQX48" s="221"/>
      <c r="DQY48" s="222"/>
      <c r="DQZ48" s="222"/>
      <c r="DRA48" s="223"/>
      <c r="DRB48" s="223"/>
      <c r="DRC48" s="224"/>
      <c r="DRD48" s="223"/>
      <c r="DRE48" s="223"/>
      <c r="DRF48" s="223"/>
      <c r="DRG48" s="223"/>
      <c r="DRH48" s="225"/>
      <c r="DRI48" s="220"/>
      <c r="DRJ48" s="221"/>
      <c r="DRK48" s="222"/>
      <c r="DRL48" s="222"/>
      <c r="DRM48" s="223"/>
      <c r="DRN48" s="223"/>
      <c r="DRO48" s="224"/>
      <c r="DRP48" s="223"/>
      <c r="DRQ48" s="223"/>
      <c r="DRR48" s="223"/>
      <c r="DRS48" s="223"/>
      <c r="DRT48" s="225"/>
      <c r="DRU48" s="220"/>
      <c r="DRV48" s="221"/>
      <c r="DRW48" s="222"/>
      <c r="DRX48" s="222"/>
      <c r="DRY48" s="223"/>
      <c r="DRZ48" s="223"/>
      <c r="DSA48" s="224"/>
      <c r="DSB48" s="223"/>
      <c r="DSC48" s="223"/>
      <c r="DSD48" s="223"/>
      <c r="DSE48" s="223"/>
      <c r="DSF48" s="225"/>
      <c r="DSG48" s="220"/>
      <c r="DSH48" s="221"/>
      <c r="DSI48" s="222"/>
      <c r="DSJ48" s="222"/>
      <c r="DSK48" s="223"/>
      <c r="DSL48" s="223"/>
      <c r="DSM48" s="224"/>
      <c r="DSN48" s="223"/>
      <c r="DSO48" s="223"/>
      <c r="DSP48" s="223"/>
      <c r="DSQ48" s="223"/>
      <c r="DSR48" s="225"/>
      <c r="DSS48" s="220"/>
      <c r="DST48" s="221"/>
      <c r="DSU48" s="222"/>
      <c r="DSV48" s="222"/>
      <c r="DSW48" s="223"/>
      <c r="DSX48" s="223"/>
      <c r="DSY48" s="224"/>
      <c r="DSZ48" s="223"/>
      <c r="DTA48" s="223"/>
      <c r="DTB48" s="223"/>
      <c r="DTC48" s="223"/>
      <c r="DTD48" s="225"/>
      <c r="DTE48" s="220"/>
      <c r="DTF48" s="221"/>
      <c r="DTG48" s="222"/>
      <c r="DTH48" s="222"/>
      <c r="DTI48" s="223"/>
      <c r="DTJ48" s="223"/>
      <c r="DTK48" s="224"/>
      <c r="DTL48" s="223"/>
      <c r="DTM48" s="223"/>
      <c r="DTN48" s="223"/>
      <c r="DTO48" s="223"/>
      <c r="DTP48" s="225"/>
      <c r="DTQ48" s="220"/>
      <c r="DTR48" s="221"/>
      <c r="DTS48" s="222"/>
      <c r="DTT48" s="222"/>
      <c r="DTU48" s="223"/>
      <c r="DTV48" s="223"/>
      <c r="DTW48" s="224"/>
      <c r="DTX48" s="223"/>
      <c r="DTY48" s="223"/>
      <c r="DTZ48" s="223"/>
      <c r="DUA48" s="223"/>
      <c r="DUB48" s="225"/>
      <c r="DUC48" s="220"/>
      <c r="DUD48" s="221"/>
      <c r="DUE48" s="222"/>
      <c r="DUF48" s="222"/>
      <c r="DUG48" s="223"/>
      <c r="DUH48" s="223"/>
      <c r="DUI48" s="224"/>
      <c r="DUJ48" s="223"/>
      <c r="DUK48" s="223"/>
      <c r="DUL48" s="223"/>
      <c r="DUM48" s="223"/>
      <c r="DUN48" s="225"/>
      <c r="DUO48" s="220"/>
      <c r="DUP48" s="221"/>
      <c r="DUQ48" s="222"/>
      <c r="DUR48" s="222"/>
      <c r="DUS48" s="223"/>
      <c r="DUT48" s="223"/>
      <c r="DUU48" s="224"/>
      <c r="DUV48" s="223"/>
      <c r="DUW48" s="223"/>
      <c r="DUX48" s="223"/>
      <c r="DUY48" s="223"/>
      <c r="DUZ48" s="225"/>
      <c r="DVA48" s="220"/>
      <c r="DVB48" s="221"/>
      <c r="DVC48" s="222"/>
      <c r="DVD48" s="222"/>
      <c r="DVE48" s="223"/>
      <c r="DVF48" s="223"/>
      <c r="DVG48" s="224"/>
      <c r="DVH48" s="223"/>
      <c r="DVI48" s="223"/>
      <c r="DVJ48" s="223"/>
      <c r="DVK48" s="223"/>
      <c r="DVL48" s="225"/>
      <c r="DVM48" s="220"/>
      <c r="DVN48" s="221"/>
      <c r="DVO48" s="222"/>
      <c r="DVP48" s="222"/>
      <c r="DVQ48" s="223"/>
      <c r="DVR48" s="223"/>
      <c r="DVS48" s="224"/>
      <c r="DVT48" s="223"/>
      <c r="DVU48" s="223"/>
      <c r="DVV48" s="223"/>
      <c r="DVW48" s="223"/>
      <c r="DVX48" s="225"/>
      <c r="DVY48" s="220"/>
      <c r="DVZ48" s="221"/>
      <c r="DWA48" s="222"/>
      <c r="DWB48" s="222"/>
      <c r="DWC48" s="223"/>
      <c r="DWD48" s="223"/>
      <c r="DWE48" s="224"/>
      <c r="DWF48" s="223"/>
      <c r="DWG48" s="223"/>
      <c r="DWH48" s="223"/>
      <c r="DWI48" s="223"/>
      <c r="DWJ48" s="225"/>
      <c r="DWK48" s="220"/>
      <c r="DWL48" s="221"/>
      <c r="DWM48" s="222"/>
      <c r="DWN48" s="222"/>
      <c r="DWO48" s="223"/>
      <c r="DWP48" s="223"/>
      <c r="DWQ48" s="224"/>
      <c r="DWR48" s="223"/>
      <c r="DWS48" s="223"/>
      <c r="DWT48" s="223"/>
      <c r="DWU48" s="223"/>
      <c r="DWV48" s="225"/>
      <c r="DWW48" s="220"/>
      <c r="DWX48" s="221"/>
      <c r="DWY48" s="222"/>
      <c r="DWZ48" s="222"/>
      <c r="DXA48" s="223"/>
      <c r="DXB48" s="223"/>
      <c r="DXC48" s="224"/>
      <c r="DXD48" s="223"/>
      <c r="DXE48" s="223"/>
      <c r="DXF48" s="223"/>
      <c r="DXG48" s="223"/>
      <c r="DXH48" s="225"/>
      <c r="DXI48" s="220"/>
      <c r="DXJ48" s="221"/>
      <c r="DXK48" s="222"/>
      <c r="DXL48" s="222"/>
      <c r="DXM48" s="223"/>
      <c r="DXN48" s="223"/>
      <c r="DXO48" s="224"/>
      <c r="DXP48" s="223"/>
      <c r="DXQ48" s="223"/>
      <c r="DXR48" s="223"/>
      <c r="DXS48" s="223"/>
      <c r="DXT48" s="225"/>
      <c r="DXU48" s="220"/>
      <c r="DXV48" s="221"/>
      <c r="DXW48" s="222"/>
      <c r="DXX48" s="222"/>
      <c r="DXY48" s="223"/>
      <c r="DXZ48" s="223"/>
      <c r="DYA48" s="224"/>
      <c r="DYB48" s="223"/>
      <c r="DYC48" s="223"/>
      <c r="DYD48" s="223"/>
      <c r="DYE48" s="223"/>
      <c r="DYF48" s="225"/>
      <c r="DYG48" s="220"/>
      <c r="DYH48" s="221"/>
      <c r="DYI48" s="222"/>
      <c r="DYJ48" s="222"/>
      <c r="DYK48" s="223"/>
      <c r="DYL48" s="223"/>
      <c r="DYM48" s="224"/>
      <c r="DYN48" s="223"/>
      <c r="DYO48" s="223"/>
      <c r="DYP48" s="223"/>
      <c r="DYQ48" s="223"/>
      <c r="DYR48" s="225"/>
      <c r="DYS48" s="220"/>
      <c r="DYT48" s="221"/>
      <c r="DYU48" s="222"/>
      <c r="DYV48" s="222"/>
      <c r="DYW48" s="223"/>
      <c r="DYX48" s="223"/>
      <c r="DYY48" s="224"/>
      <c r="DYZ48" s="223"/>
      <c r="DZA48" s="223"/>
      <c r="DZB48" s="223"/>
      <c r="DZC48" s="223"/>
      <c r="DZD48" s="225"/>
      <c r="DZE48" s="220"/>
      <c r="DZF48" s="221"/>
      <c r="DZG48" s="222"/>
      <c r="DZH48" s="222"/>
      <c r="DZI48" s="223"/>
      <c r="DZJ48" s="223"/>
      <c r="DZK48" s="224"/>
      <c r="DZL48" s="223"/>
      <c r="DZM48" s="223"/>
      <c r="DZN48" s="223"/>
      <c r="DZO48" s="223"/>
      <c r="DZP48" s="225"/>
      <c r="DZQ48" s="220"/>
      <c r="DZR48" s="221"/>
      <c r="DZS48" s="222"/>
      <c r="DZT48" s="222"/>
      <c r="DZU48" s="223"/>
      <c r="DZV48" s="223"/>
      <c r="DZW48" s="224"/>
      <c r="DZX48" s="223"/>
      <c r="DZY48" s="223"/>
      <c r="DZZ48" s="223"/>
      <c r="EAA48" s="223"/>
      <c r="EAB48" s="225"/>
      <c r="EAC48" s="220"/>
      <c r="EAD48" s="221"/>
      <c r="EAE48" s="222"/>
      <c r="EAF48" s="222"/>
      <c r="EAG48" s="223"/>
      <c r="EAH48" s="223"/>
      <c r="EAI48" s="224"/>
      <c r="EAJ48" s="223"/>
      <c r="EAK48" s="223"/>
      <c r="EAL48" s="223"/>
      <c r="EAM48" s="223"/>
      <c r="EAN48" s="225"/>
      <c r="EAO48" s="220"/>
      <c r="EAP48" s="221"/>
      <c r="EAQ48" s="222"/>
      <c r="EAR48" s="222"/>
      <c r="EAS48" s="223"/>
      <c r="EAT48" s="223"/>
      <c r="EAU48" s="224"/>
      <c r="EAV48" s="223"/>
      <c r="EAW48" s="223"/>
      <c r="EAX48" s="223"/>
      <c r="EAY48" s="223"/>
      <c r="EAZ48" s="225"/>
      <c r="EBA48" s="220"/>
      <c r="EBB48" s="221"/>
      <c r="EBC48" s="222"/>
      <c r="EBD48" s="222"/>
      <c r="EBE48" s="223"/>
      <c r="EBF48" s="223"/>
      <c r="EBG48" s="224"/>
      <c r="EBH48" s="223"/>
      <c r="EBI48" s="223"/>
      <c r="EBJ48" s="223"/>
      <c r="EBK48" s="223"/>
      <c r="EBL48" s="225"/>
      <c r="EBM48" s="220"/>
      <c r="EBN48" s="221"/>
      <c r="EBO48" s="222"/>
      <c r="EBP48" s="222"/>
      <c r="EBQ48" s="223"/>
      <c r="EBR48" s="223"/>
      <c r="EBS48" s="224"/>
      <c r="EBT48" s="223"/>
      <c r="EBU48" s="223"/>
      <c r="EBV48" s="223"/>
      <c r="EBW48" s="223"/>
      <c r="EBX48" s="225"/>
      <c r="EBY48" s="220"/>
      <c r="EBZ48" s="221"/>
      <c r="ECA48" s="222"/>
      <c r="ECB48" s="222"/>
      <c r="ECC48" s="223"/>
      <c r="ECD48" s="223"/>
      <c r="ECE48" s="224"/>
      <c r="ECF48" s="223"/>
      <c r="ECG48" s="223"/>
      <c r="ECH48" s="223"/>
      <c r="ECI48" s="223"/>
      <c r="ECJ48" s="225"/>
      <c r="ECK48" s="220"/>
      <c r="ECL48" s="221"/>
      <c r="ECM48" s="222"/>
      <c r="ECN48" s="222"/>
      <c r="ECO48" s="223"/>
      <c r="ECP48" s="223"/>
      <c r="ECQ48" s="224"/>
      <c r="ECR48" s="223"/>
      <c r="ECS48" s="223"/>
      <c r="ECT48" s="223"/>
      <c r="ECU48" s="223"/>
      <c r="ECV48" s="225"/>
      <c r="ECW48" s="220"/>
      <c r="ECX48" s="221"/>
      <c r="ECY48" s="222"/>
      <c r="ECZ48" s="222"/>
      <c r="EDA48" s="223"/>
      <c r="EDB48" s="223"/>
      <c r="EDC48" s="224"/>
      <c r="EDD48" s="223"/>
      <c r="EDE48" s="223"/>
      <c r="EDF48" s="223"/>
      <c r="EDG48" s="223"/>
      <c r="EDH48" s="225"/>
      <c r="EDI48" s="220"/>
      <c r="EDJ48" s="221"/>
      <c r="EDK48" s="222"/>
      <c r="EDL48" s="222"/>
      <c r="EDM48" s="223"/>
      <c r="EDN48" s="223"/>
      <c r="EDO48" s="224"/>
      <c r="EDP48" s="223"/>
      <c r="EDQ48" s="223"/>
      <c r="EDR48" s="223"/>
      <c r="EDS48" s="223"/>
      <c r="EDT48" s="225"/>
      <c r="EDU48" s="220"/>
      <c r="EDV48" s="221"/>
      <c r="EDW48" s="222"/>
      <c r="EDX48" s="222"/>
      <c r="EDY48" s="223"/>
      <c r="EDZ48" s="223"/>
      <c r="EEA48" s="224"/>
      <c r="EEB48" s="223"/>
      <c r="EEC48" s="223"/>
      <c r="EED48" s="223"/>
      <c r="EEE48" s="223"/>
      <c r="EEF48" s="225"/>
      <c r="EEG48" s="220"/>
      <c r="EEH48" s="221"/>
      <c r="EEI48" s="222"/>
      <c r="EEJ48" s="222"/>
      <c r="EEK48" s="223"/>
      <c r="EEL48" s="223"/>
      <c r="EEM48" s="224"/>
      <c r="EEN48" s="223"/>
      <c r="EEO48" s="223"/>
      <c r="EEP48" s="223"/>
      <c r="EEQ48" s="223"/>
      <c r="EER48" s="225"/>
      <c r="EES48" s="220"/>
      <c r="EET48" s="221"/>
      <c r="EEU48" s="222"/>
      <c r="EEV48" s="222"/>
      <c r="EEW48" s="223"/>
      <c r="EEX48" s="223"/>
      <c r="EEY48" s="224"/>
      <c r="EEZ48" s="223"/>
      <c r="EFA48" s="223"/>
      <c r="EFB48" s="223"/>
      <c r="EFC48" s="223"/>
      <c r="EFD48" s="225"/>
      <c r="EFE48" s="220"/>
      <c r="EFF48" s="221"/>
      <c r="EFG48" s="222"/>
      <c r="EFH48" s="222"/>
      <c r="EFI48" s="223"/>
      <c r="EFJ48" s="223"/>
      <c r="EFK48" s="224"/>
      <c r="EFL48" s="223"/>
      <c r="EFM48" s="223"/>
      <c r="EFN48" s="223"/>
      <c r="EFO48" s="223"/>
      <c r="EFP48" s="225"/>
      <c r="EFQ48" s="220"/>
      <c r="EFR48" s="221"/>
      <c r="EFS48" s="222"/>
      <c r="EFT48" s="222"/>
      <c r="EFU48" s="223"/>
      <c r="EFV48" s="223"/>
      <c r="EFW48" s="224"/>
      <c r="EFX48" s="223"/>
      <c r="EFY48" s="223"/>
      <c r="EFZ48" s="223"/>
      <c r="EGA48" s="223"/>
      <c r="EGB48" s="225"/>
      <c r="EGC48" s="220"/>
      <c r="EGD48" s="221"/>
      <c r="EGE48" s="222"/>
      <c r="EGF48" s="222"/>
      <c r="EGG48" s="223"/>
      <c r="EGH48" s="223"/>
      <c r="EGI48" s="224"/>
      <c r="EGJ48" s="223"/>
      <c r="EGK48" s="223"/>
      <c r="EGL48" s="223"/>
      <c r="EGM48" s="223"/>
      <c r="EGN48" s="225"/>
      <c r="EGO48" s="220"/>
      <c r="EGP48" s="221"/>
      <c r="EGQ48" s="222"/>
      <c r="EGR48" s="222"/>
      <c r="EGS48" s="223"/>
      <c r="EGT48" s="223"/>
      <c r="EGU48" s="224"/>
      <c r="EGV48" s="223"/>
      <c r="EGW48" s="223"/>
      <c r="EGX48" s="223"/>
      <c r="EGY48" s="223"/>
      <c r="EGZ48" s="225"/>
      <c r="EHA48" s="220"/>
      <c r="EHB48" s="221"/>
      <c r="EHC48" s="222"/>
      <c r="EHD48" s="222"/>
      <c r="EHE48" s="223"/>
      <c r="EHF48" s="223"/>
      <c r="EHG48" s="224"/>
      <c r="EHH48" s="223"/>
      <c r="EHI48" s="223"/>
      <c r="EHJ48" s="223"/>
      <c r="EHK48" s="223"/>
      <c r="EHL48" s="225"/>
      <c r="EHM48" s="220"/>
      <c r="EHN48" s="221"/>
      <c r="EHO48" s="222"/>
      <c r="EHP48" s="222"/>
      <c r="EHQ48" s="223"/>
      <c r="EHR48" s="223"/>
      <c r="EHS48" s="224"/>
      <c r="EHT48" s="223"/>
      <c r="EHU48" s="223"/>
      <c r="EHV48" s="223"/>
      <c r="EHW48" s="223"/>
      <c r="EHX48" s="225"/>
      <c r="EHY48" s="220"/>
      <c r="EHZ48" s="221"/>
      <c r="EIA48" s="222"/>
      <c r="EIB48" s="222"/>
      <c r="EIC48" s="223"/>
      <c r="EID48" s="223"/>
      <c r="EIE48" s="224"/>
      <c r="EIF48" s="223"/>
      <c r="EIG48" s="223"/>
      <c r="EIH48" s="223"/>
      <c r="EII48" s="223"/>
      <c r="EIJ48" s="225"/>
      <c r="EIK48" s="220"/>
      <c r="EIL48" s="221"/>
      <c r="EIM48" s="222"/>
      <c r="EIN48" s="222"/>
      <c r="EIO48" s="223"/>
      <c r="EIP48" s="223"/>
      <c r="EIQ48" s="224"/>
      <c r="EIR48" s="223"/>
      <c r="EIS48" s="223"/>
      <c r="EIT48" s="223"/>
      <c r="EIU48" s="223"/>
      <c r="EIV48" s="225"/>
      <c r="EIW48" s="220"/>
      <c r="EIX48" s="221"/>
      <c r="EIY48" s="222"/>
      <c r="EIZ48" s="222"/>
      <c r="EJA48" s="223"/>
      <c r="EJB48" s="223"/>
      <c r="EJC48" s="224"/>
      <c r="EJD48" s="223"/>
      <c r="EJE48" s="223"/>
      <c r="EJF48" s="223"/>
      <c r="EJG48" s="223"/>
      <c r="EJH48" s="225"/>
      <c r="EJI48" s="220"/>
      <c r="EJJ48" s="221"/>
      <c r="EJK48" s="222"/>
      <c r="EJL48" s="222"/>
      <c r="EJM48" s="223"/>
      <c r="EJN48" s="223"/>
      <c r="EJO48" s="224"/>
      <c r="EJP48" s="223"/>
      <c r="EJQ48" s="223"/>
      <c r="EJR48" s="223"/>
      <c r="EJS48" s="223"/>
      <c r="EJT48" s="225"/>
      <c r="EJU48" s="220"/>
      <c r="EJV48" s="221"/>
      <c r="EJW48" s="222"/>
      <c r="EJX48" s="222"/>
      <c r="EJY48" s="223"/>
      <c r="EJZ48" s="223"/>
      <c r="EKA48" s="224"/>
      <c r="EKB48" s="223"/>
      <c r="EKC48" s="223"/>
      <c r="EKD48" s="223"/>
      <c r="EKE48" s="223"/>
      <c r="EKF48" s="225"/>
      <c r="EKG48" s="220"/>
      <c r="EKH48" s="221"/>
      <c r="EKI48" s="222"/>
      <c r="EKJ48" s="222"/>
      <c r="EKK48" s="223"/>
      <c r="EKL48" s="223"/>
      <c r="EKM48" s="224"/>
      <c r="EKN48" s="223"/>
      <c r="EKO48" s="223"/>
      <c r="EKP48" s="223"/>
      <c r="EKQ48" s="223"/>
      <c r="EKR48" s="225"/>
      <c r="EKS48" s="220"/>
      <c r="EKT48" s="221"/>
      <c r="EKU48" s="222"/>
      <c r="EKV48" s="222"/>
      <c r="EKW48" s="223"/>
      <c r="EKX48" s="223"/>
      <c r="EKY48" s="224"/>
      <c r="EKZ48" s="223"/>
      <c r="ELA48" s="223"/>
      <c r="ELB48" s="223"/>
      <c r="ELC48" s="223"/>
      <c r="ELD48" s="225"/>
      <c r="ELE48" s="220"/>
      <c r="ELF48" s="221"/>
      <c r="ELG48" s="222"/>
      <c r="ELH48" s="222"/>
      <c r="ELI48" s="223"/>
      <c r="ELJ48" s="223"/>
      <c r="ELK48" s="224"/>
      <c r="ELL48" s="223"/>
      <c r="ELM48" s="223"/>
      <c r="ELN48" s="223"/>
      <c r="ELO48" s="223"/>
      <c r="ELP48" s="225"/>
      <c r="ELQ48" s="220"/>
      <c r="ELR48" s="221"/>
      <c r="ELS48" s="222"/>
      <c r="ELT48" s="222"/>
      <c r="ELU48" s="223"/>
      <c r="ELV48" s="223"/>
      <c r="ELW48" s="224"/>
      <c r="ELX48" s="223"/>
      <c r="ELY48" s="223"/>
      <c r="ELZ48" s="223"/>
      <c r="EMA48" s="223"/>
      <c r="EMB48" s="225"/>
      <c r="EMC48" s="220"/>
      <c r="EMD48" s="221"/>
      <c r="EME48" s="222"/>
      <c r="EMF48" s="222"/>
      <c r="EMG48" s="223"/>
      <c r="EMH48" s="223"/>
      <c r="EMI48" s="224"/>
      <c r="EMJ48" s="223"/>
      <c r="EMK48" s="223"/>
      <c r="EML48" s="223"/>
      <c r="EMM48" s="223"/>
      <c r="EMN48" s="225"/>
      <c r="EMO48" s="220"/>
      <c r="EMP48" s="221"/>
      <c r="EMQ48" s="222"/>
      <c r="EMR48" s="222"/>
      <c r="EMS48" s="223"/>
      <c r="EMT48" s="223"/>
      <c r="EMU48" s="224"/>
      <c r="EMV48" s="223"/>
      <c r="EMW48" s="223"/>
      <c r="EMX48" s="223"/>
      <c r="EMY48" s="223"/>
      <c r="EMZ48" s="225"/>
      <c r="ENA48" s="220"/>
      <c r="ENB48" s="221"/>
      <c r="ENC48" s="222"/>
      <c r="END48" s="222"/>
      <c r="ENE48" s="223"/>
      <c r="ENF48" s="223"/>
      <c r="ENG48" s="224"/>
      <c r="ENH48" s="223"/>
      <c r="ENI48" s="223"/>
      <c r="ENJ48" s="223"/>
      <c r="ENK48" s="223"/>
      <c r="ENL48" s="225"/>
      <c r="ENM48" s="220"/>
      <c r="ENN48" s="221"/>
      <c r="ENO48" s="222"/>
      <c r="ENP48" s="222"/>
      <c r="ENQ48" s="223"/>
      <c r="ENR48" s="223"/>
      <c r="ENS48" s="224"/>
      <c r="ENT48" s="223"/>
      <c r="ENU48" s="223"/>
      <c r="ENV48" s="223"/>
      <c r="ENW48" s="223"/>
      <c r="ENX48" s="225"/>
      <c r="ENY48" s="220"/>
      <c r="ENZ48" s="221"/>
      <c r="EOA48" s="222"/>
      <c r="EOB48" s="222"/>
      <c r="EOC48" s="223"/>
      <c r="EOD48" s="223"/>
      <c r="EOE48" s="224"/>
      <c r="EOF48" s="223"/>
      <c r="EOG48" s="223"/>
      <c r="EOH48" s="223"/>
      <c r="EOI48" s="223"/>
      <c r="EOJ48" s="225"/>
      <c r="EOK48" s="220"/>
      <c r="EOL48" s="221"/>
      <c r="EOM48" s="222"/>
      <c r="EON48" s="222"/>
      <c r="EOO48" s="223"/>
      <c r="EOP48" s="223"/>
      <c r="EOQ48" s="224"/>
      <c r="EOR48" s="223"/>
      <c r="EOS48" s="223"/>
      <c r="EOT48" s="223"/>
      <c r="EOU48" s="223"/>
      <c r="EOV48" s="225"/>
      <c r="EOW48" s="220"/>
      <c r="EOX48" s="221"/>
      <c r="EOY48" s="222"/>
      <c r="EOZ48" s="222"/>
      <c r="EPA48" s="223"/>
      <c r="EPB48" s="223"/>
      <c r="EPC48" s="224"/>
      <c r="EPD48" s="223"/>
      <c r="EPE48" s="223"/>
      <c r="EPF48" s="223"/>
      <c r="EPG48" s="223"/>
      <c r="EPH48" s="225"/>
      <c r="EPI48" s="220"/>
      <c r="EPJ48" s="221"/>
      <c r="EPK48" s="222"/>
      <c r="EPL48" s="222"/>
      <c r="EPM48" s="223"/>
      <c r="EPN48" s="223"/>
      <c r="EPO48" s="224"/>
      <c r="EPP48" s="223"/>
      <c r="EPQ48" s="223"/>
      <c r="EPR48" s="223"/>
      <c r="EPS48" s="223"/>
      <c r="EPT48" s="225"/>
      <c r="EPU48" s="220"/>
      <c r="EPV48" s="221"/>
      <c r="EPW48" s="222"/>
      <c r="EPX48" s="222"/>
      <c r="EPY48" s="223"/>
      <c r="EPZ48" s="223"/>
      <c r="EQA48" s="224"/>
      <c r="EQB48" s="223"/>
      <c r="EQC48" s="223"/>
      <c r="EQD48" s="223"/>
      <c r="EQE48" s="223"/>
      <c r="EQF48" s="225"/>
      <c r="EQG48" s="220"/>
      <c r="EQH48" s="221"/>
      <c r="EQI48" s="222"/>
      <c r="EQJ48" s="222"/>
      <c r="EQK48" s="223"/>
      <c r="EQL48" s="223"/>
      <c r="EQM48" s="224"/>
      <c r="EQN48" s="223"/>
      <c r="EQO48" s="223"/>
      <c r="EQP48" s="223"/>
      <c r="EQQ48" s="223"/>
      <c r="EQR48" s="225"/>
      <c r="EQS48" s="220"/>
      <c r="EQT48" s="221"/>
      <c r="EQU48" s="222"/>
      <c r="EQV48" s="222"/>
      <c r="EQW48" s="223"/>
      <c r="EQX48" s="223"/>
      <c r="EQY48" s="224"/>
      <c r="EQZ48" s="223"/>
      <c r="ERA48" s="223"/>
      <c r="ERB48" s="223"/>
      <c r="ERC48" s="223"/>
      <c r="ERD48" s="225"/>
      <c r="ERE48" s="220"/>
      <c r="ERF48" s="221"/>
      <c r="ERG48" s="222"/>
      <c r="ERH48" s="222"/>
      <c r="ERI48" s="223"/>
      <c r="ERJ48" s="223"/>
      <c r="ERK48" s="224"/>
      <c r="ERL48" s="223"/>
      <c r="ERM48" s="223"/>
      <c r="ERN48" s="223"/>
      <c r="ERO48" s="223"/>
      <c r="ERP48" s="225"/>
      <c r="ERQ48" s="220"/>
      <c r="ERR48" s="221"/>
      <c r="ERS48" s="222"/>
      <c r="ERT48" s="222"/>
      <c r="ERU48" s="223"/>
      <c r="ERV48" s="223"/>
      <c r="ERW48" s="224"/>
      <c r="ERX48" s="223"/>
      <c r="ERY48" s="223"/>
      <c r="ERZ48" s="223"/>
      <c r="ESA48" s="223"/>
      <c r="ESB48" s="225"/>
      <c r="ESC48" s="220"/>
      <c r="ESD48" s="221"/>
      <c r="ESE48" s="222"/>
      <c r="ESF48" s="222"/>
      <c r="ESG48" s="223"/>
      <c r="ESH48" s="223"/>
      <c r="ESI48" s="224"/>
      <c r="ESJ48" s="223"/>
      <c r="ESK48" s="223"/>
      <c r="ESL48" s="223"/>
      <c r="ESM48" s="223"/>
      <c r="ESN48" s="225"/>
      <c r="ESO48" s="220"/>
      <c r="ESP48" s="221"/>
      <c r="ESQ48" s="222"/>
      <c r="ESR48" s="222"/>
      <c r="ESS48" s="223"/>
      <c r="EST48" s="223"/>
      <c r="ESU48" s="224"/>
      <c r="ESV48" s="223"/>
      <c r="ESW48" s="223"/>
      <c r="ESX48" s="223"/>
      <c r="ESY48" s="223"/>
      <c r="ESZ48" s="225"/>
      <c r="ETA48" s="220"/>
      <c r="ETB48" s="221"/>
      <c r="ETC48" s="222"/>
      <c r="ETD48" s="222"/>
      <c r="ETE48" s="223"/>
      <c r="ETF48" s="223"/>
      <c r="ETG48" s="224"/>
      <c r="ETH48" s="223"/>
      <c r="ETI48" s="223"/>
      <c r="ETJ48" s="223"/>
      <c r="ETK48" s="223"/>
      <c r="ETL48" s="225"/>
      <c r="ETM48" s="220"/>
      <c r="ETN48" s="221"/>
      <c r="ETO48" s="222"/>
      <c r="ETP48" s="222"/>
      <c r="ETQ48" s="223"/>
      <c r="ETR48" s="223"/>
      <c r="ETS48" s="224"/>
      <c r="ETT48" s="223"/>
      <c r="ETU48" s="223"/>
      <c r="ETV48" s="223"/>
      <c r="ETW48" s="223"/>
      <c r="ETX48" s="225"/>
      <c r="ETY48" s="220"/>
      <c r="ETZ48" s="221"/>
      <c r="EUA48" s="222"/>
      <c r="EUB48" s="222"/>
      <c r="EUC48" s="223"/>
      <c r="EUD48" s="223"/>
      <c r="EUE48" s="224"/>
      <c r="EUF48" s="223"/>
      <c r="EUG48" s="223"/>
      <c r="EUH48" s="223"/>
      <c r="EUI48" s="223"/>
      <c r="EUJ48" s="225"/>
      <c r="EUK48" s="220"/>
      <c r="EUL48" s="221"/>
      <c r="EUM48" s="222"/>
      <c r="EUN48" s="222"/>
      <c r="EUO48" s="223"/>
      <c r="EUP48" s="223"/>
      <c r="EUQ48" s="224"/>
      <c r="EUR48" s="223"/>
      <c r="EUS48" s="223"/>
      <c r="EUT48" s="223"/>
      <c r="EUU48" s="223"/>
      <c r="EUV48" s="225"/>
      <c r="EUW48" s="220"/>
      <c r="EUX48" s="221"/>
      <c r="EUY48" s="222"/>
      <c r="EUZ48" s="222"/>
      <c r="EVA48" s="223"/>
      <c r="EVB48" s="223"/>
      <c r="EVC48" s="224"/>
      <c r="EVD48" s="223"/>
      <c r="EVE48" s="223"/>
      <c r="EVF48" s="223"/>
      <c r="EVG48" s="223"/>
      <c r="EVH48" s="225"/>
      <c r="EVI48" s="220"/>
      <c r="EVJ48" s="221"/>
      <c r="EVK48" s="222"/>
      <c r="EVL48" s="222"/>
      <c r="EVM48" s="223"/>
      <c r="EVN48" s="223"/>
      <c r="EVO48" s="224"/>
      <c r="EVP48" s="223"/>
      <c r="EVQ48" s="223"/>
      <c r="EVR48" s="223"/>
      <c r="EVS48" s="223"/>
      <c r="EVT48" s="225"/>
      <c r="EVU48" s="220"/>
      <c r="EVV48" s="221"/>
      <c r="EVW48" s="222"/>
      <c r="EVX48" s="222"/>
      <c r="EVY48" s="223"/>
      <c r="EVZ48" s="223"/>
      <c r="EWA48" s="224"/>
      <c r="EWB48" s="223"/>
      <c r="EWC48" s="223"/>
      <c r="EWD48" s="223"/>
      <c r="EWE48" s="223"/>
      <c r="EWF48" s="225"/>
      <c r="EWG48" s="220"/>
      <c r="EWH48" s="221"/>
      <c r="EWI48" s="222"/>
      <c r="EWJ48" s="222"/>
      <c r="EWK48" s="223"/>
      <c r="EWL48" s="223"/>
      <c r="EWM48" s="224"/>
      <c r="EWN48" s="223"/>
      <c r="EWO48" s="223"/>
      <c r="EWP48" s="223"/>
      <c r="EWQ48" s="223"/>
      <c r="EWR48" s="225"/>
      <c r="EWS48" s="220"/>
      <c r="EWT48" s="221"/>
      <c r="EWU48" s="222"/>
      <c r="EWV48" s="222"/>
      <c r="EWW48" s="223"/>
      <c r="EWX48" s="223"/>
      <c r="EWY48" s="224"/>
      <c r="EWZ48" s="223"/>
      <c r="EXA48" s="223"/>
      <c r="EXB48" s="223"/>
      <c r="EXC48" s="223"/>
      <c r="EXD48" s="225"/>
      <c r="EXE48" s="220"/>
      <c r="EXF48" s="221"/>
      <c r="EXG48" s="222"/>
      <c r="EXH48" s="222"/>
      <c r="EXI48" s="223"/>
      <c r="EXJ48" s="223"/>
      <c r="EXK48" s="224"/>
      <c r="EXL48" s="223"/>
      <c r="EXM48" s="223"/>
      <c r="EXN48" s="223"/>
      <c r="EXO48" s="223"/>
      <c r="EXP48" s="225"/>
      <c r="EXQ48" s="220"/>
      <c r="EXR48" s="221"/>
      <c r="EXS48" s="222"/>
      <c r="EXT48" s="222"/>
      <c r="EXU48" s="223"/>
      <c r="EXV48" s="223"/>
      <c r="EXW48" s="224"/>
      <c r="EXX48" s="223"/>
      <c r="EXY48" s="223"/>
      <c r="EXZ48" s="223"/>
      <c r="EYA48" s="223"/>
      <c r="EYB48" s="225"/>
      <c r="EYC48" s="220"/>
      <c r="EYD48" s="221"/>
      <c r="EYE48" s="222"/>
      <c r="EYF48" s="222"/>
      <c r="EYG48" s="223"/>
      <c r="EYH48" s="223"/>
      <c r="EYI48" s="224"/>
      <c r="EYJ48" s="223"/>
      <c r="EYK48" s="223"/>
      <c r="EYL48" s="223"/>
      <c r="EYM48" s="223"/>
      <c r="EYN48" s="225"/>
      <c r="EYO48" s="220"/>
      <c r="EYP48" s="221"/>
      <c r="EYQ48" s="222"/>
      <c r="EYR48" s="222"/>
      <c r="EYS48" s="223"/>
      <c r="EYT48" s="223"/>
      <c r="EYU48" s="224"/>
      <c r="EYV48" s="223"/>
      <c r="EYW48" s="223"/>
      <c r="EYX48" s="223"/>
      <c r="EYY48" s="223"/>
      <c r="EYZ48" s="225"/>
      <c r="EZA48" s="220"/>
      <c r="EZB48" s="221"/>
      <c r="EZC48" s="222"/>
      <c r="EZD48" s="222"/>
      <c r="EZE48" s="223"/>
      <c r="EZF48" s="223"/>
      <c r="EZG48" s="224"/>
      <c r="EZH48" s="223"/>
      <c r="EZI48" s="223"/>
      <c r="EZJ48" s="223"/>
      <c r="EZK48" s="223"/>
      <c r="EZL48" s="225"/>
      <c r="EZM48" s="220"/>
      <c r="EZN48" s="221"/>
      <c r="EZO48" s="222"/>
      <c r="EZP48" s="222"/>
      <c r="EZQ48" s="223"/>
      <c r="EZR48" s="223"/>
      <c r="EZS48" s="224"/>
      <c r="EZT48" s="223"/>
      <c r="EZU48" s="223"/>
      <c r="EZV48" s="223"/>
      <c r="EZW48" s="223"/>
      <c r="EZX48" s="225"/>
      <c r="EZY48" s="220"/>
      <c r="EZZ48" s="221"/>
      <c r="FAA48" s="222"/>
      <c r="FAB48" s="222"/>
      <c r="FAC48" s="223"/>
      <c r="FAD48" s="223"/>
      <c r="FAE48" s="224"/>
      <c r="FAF48" s="223"/>
      <c r="FAG48" s="223"/>
      <c r="FAH48" s="223"/>
      <c r="FAI48" s="223"/>
      <c r="FAJ48" s="225"/>
      <c r="FAK48" s="220"/>
      <c r="FAL48" s="221"/>
      <c r="FAM48" s="222"/>
      <c r="FAN48" s="222"/>
      <c r="FAO48" s="223"/>
      <c r="FAP48" s="223"/>
      <c r="FAQ48" s="224"/>
      <c r="FAR48" s="223"/>
      <c r="FAS48" s="223"/>
      <c r="FAT48" s="223"/>
      <c r="FAU48" s="223"/>
      <c r="FAV48" s="225"/>
      <c r="FAW48" s="220"/>
      <c r="FAX48" s="221"/>
      <c r="FAY48" s="222"/>
      <c r="FAZ48" s="222"/>
      <c r="FBA48" s="223"/>
      <c r="FBB48" s="223"/>
      <c r="FBC48" s="224"/>
      <c r="FBD48" s="223"/>
      <c r="FBE48" s="223"/>
      <c r="FBF48" s="223"/>
      <c r="FBG48" s="223"/>
      <c r="FBH48" s="225"/>
      <c r="FBI48" s="220"/>
      <c r="FBJ48" s="221"/>
      <c r="FBK48" s="222"/>
      <c r="FBL48" s="222"/>
      <c r="FBM48" s="223"/>
      <c r="FBN48" s="223"/>
      <c r="FBO48" s="224"/>
      <c r="FBP48" s="223"/>
      <c r="FBQ48" s="223"/>
      <c r="FBR48" s="223"/>
      <c r="FBS48" s="223"/>
      <c r="FBT48" s="225"/>
      <c r="FBU48" s="220"/>
      <c r="FBV48" s="221"/>
      <c r="FBW48" s="222"/>
      <c r="FBX48" s="222"/>
      <c r="FBY48" s="223"/>
      <c r="FBZ48" s="223"/>
      <c r="FCA48" s="224"/>
      <c r="FCB48" s="223"/>
      <c r="FCC48" s="223"/>
      <c r="FCD48" s="223"/>
      <c r="FCE48" s="223"/>
      <c r="FCF48" s="225"/>
      <c r="FCG48" s="220"/>
      <c r="FCH48" s="221"/>
      <c r="FCI48" s="222"/>
      <c r="FCJ48" s="222"/>
      <c r="FCK48" s="223"/>
      <c r="FCL48" s="223"/>
      <c r="FCM48" s="224"/>
      <c r="FCN48" s="223"/>
      <c r="FCO48" s="223"/>
      <c r="FCP48" s="223"/>
      <c r="FCQ48" s="223"/>
      <c r="FCR48" s="225"/>
      <c r="FCS48" s="220"/>
      <c r="FCT48" s="221"/>
      <c r="FCU48" s="222"/>
      <c r="FCV48" s="222"/>
      <c r="FCW48" s="223"/>
      <c r="FCX48" s="223"/>
      <c r="FCY48" s="224"/>
      <c r="FCZ48" s="223"/>
      <c r="FDA48" s="223"/>
      <c r="FDB48" s="223"/>
      <c r="FDC48" s="223"/>
      <c r="FDD48" s="225"/>
      <c r="FDE48" s="220"/>
      <c r="FDF48" s="221"/>
      <c r="FDG48" s="222"/>
      <c r="FDH48" s="222"/>
      <c r="FDI48" s="223"/>
      <c r="FDJ48" s="223"/>
      <c r="FDK48" s="224"/>
      <c r="FDL48" s="223"/>
      <c r="FDM48" s="223"/>
      <c r="FDN48" s="223"/>
      <c r="FDO48" s="223"/>
      <c r="FDP48" s="225"/>
      <c r="FDQ48" s="220"/>
      <c r="FDR48" s="221"/>
      <c r="FDS48" s="222"/>
      <c r="FDT48" s="222"/>
      <c r="FDU48" s="223"/>
      <c r="FDV48" s="223"/>
      <c r="FDW48" s="224"/>
      <c r="FDX48" s="223"/>
      <c r="FDY48" s="223"/>
      <c r="FDZ48" s="223"/>
      <c r="FEA48" s="223"/>
      <c r="FEB48" s="225"/>
      <c r="FEC48" s="220"/>
      <c r="FED48" s="221"/>
      <c r="FEE48" s="222"/>
      <c r="FEF48" s="222"/>
      <c r="FEG48" s="223"/>
      <c r="FEH48" s="223"/>
      <c r="FEI48" s="224"/>
      <c r="FEJ48" s="223"/>
      <c r="FEK48" s="223"/>
      <c r="FEL48" s="223"/>
      <c r="FEM48" s="223"/>
      <c r="FEN48" s="225"/>
      <c r="FEO48" s="220"/>
      <c r="FEP48" s="221"/>
      <c r="FEQ48" s="222"/>
      <c r="FER48" s="222"/>
      <c r="FES48" s="223"/>
      <c r="FET48" s="223"/>
      <c r="FEU48" s="224"/>
      <c r="FEV48" s="223"/>
      <c r="FEW48" s="223"/>
      <c r="FEX48" s="223"/>
      <c r="FEY48" s="223"/>
      <c r="FEZ48" s="225"/>
      <c r="FFA48" s="220"/>
      <c r="FFB48" s="221"/>
      <c r="FFC48" s="222"/>
      <c r="FFD48" s="222"/>
      <c r="FFE48" s="223"/>
      <c r="FFF48" s="223"/>
      <c r="FFG48" s="224"/>
      <c r="FFH48" s="223"/>
      <c r="FFI48" s="223"/>
      <c r="FFJ48" s="223"/>
      <c r="FFK48" s="223"/>
      <c r="FFL48" s="225"/>
      <c r="FFM48" s="220"/>
      <c r="FFN48" s="221"/>
      <c r="FFO48" s="222"/>
      <c r="FFP48" s="222"/>
      <c r="FFQ48" s="223"/>
      <c r="FFR48" s="223"/>
      <c r="FFS48" s="224"/>
      <c r="FFT48" s="223"/>
      <c r="FFU48" s="223"/>
      <c r="FFV48" s="223"/>
      <c r="FFW48" s="223"/>
      <c r="FFX48" s="225"/>
      <c r="FFY48" s="220"/>
      <c r="FFZ48" s="221"/>
      <c r="FGA48" s="222"/>
      <c r="FGB48" s="222"/>
      <c r="FGC48" s="223"/>
      <c r="FGD48" s="223"/>
      <c r="FGE48" s="224"/>
      <c r="FGF48" s="223"/>
      <c r="FGG48" s="223"/>
      <c r="FGH48" s="223"/>
      <c r="FGI48" s="223"/>
      <c r="FGJ48" s="225"/>
      <c r="FGK48" s="220"/>
      <c r="FGL48" s="221"/>
      <c r="FGM48" s="222"/>
      <c r="FGN48" s="222"/>
      <c r="FGO48" s="223"/>
      <c r="FGP48" s="223"/>
      <c r="FGQ48" s="224"/>
      <c r="FGR48" s="223"/>
      <c r="FGS48" s="223"/>
      <c r="FGT48" s="223"/>
      <c r="FGU48" s="223"/>
      <c r="FGV48" s="225"/>
      <c r="FGW48" s="220"/>
      <c r="FGX48" s="221"/>
      <c r="FGY48" s="222"/>
      <c r="FGZ48" s="222"/>
      <c r="FHA48" s="223"/>
      <c r="FHB48" s="223"/>
      <c r="FHC48" s="224"/>
      <c r="FHD48" s="223"/>
      <c r="FHE48" s="223"/>
      <c r="FHF48" s="223"/>
      <c r="FHG48" s="223"/>
      <c r="FHH48" s="225"/>
      <c r="FHI48" s="220"/>
      <c r="FHJ48" s="221"/>
      <c r="FHK48" s="222"/>
      <c r="FHL48" s="222"/>
      <c r="FHM48" s="223"/>
      <c r="FHN48" s="223"/>
      <c r="FHO48" s="224"/>
      <c r="FHP48" s="223"/>
      <c r="FHQ48" s="223"/>
      <c r="FHR48" s="223"/>
      <c r="FHS48" s="223"/>
      <c r="FHT48" s="225"/>
      <c r="FHU48" s="220"/>
      <c r="FHV48" s="221"/>
      <c r="FHW48" s="222"/>
      <c r="FHX48" s="222"/>
      <c r="FHY48" s="223"/>
      <c r="FHZ48" s="223"/>
      <c r="FIA48" s="224"/>
      <c r="FIB48" s="223"/>
      <c r="FIC48" s="223"/>
      <c r="FID48" s="223"/>
      <c r="FIE48" s="223"/>
      <c r="FIF48" s="225"/>
      <c r="FIG48" s="220"/>
      <c r="FIH48" s="221"/>
      <c r="FII48" s="222"/>
      <c r="FIJ48" s="222"/>
      <c r="FIK48" s="223"/>
      <c r="FIL48" s="223"/>
      <c r="FIM48" s="224"/>
      <c r="FIN48" s="223"/>
      <c r="FIO48" s="223"/>
      <c r="FIP48" s="223"/>
      <c r="FIQ48" s="223"/>
      <c r="FIR48" s="225"/>
      <c r="FIS48" s="220"/>
      <c r="FIT48" s="221"/>
      <c r="FIU48" s="222"/>
      <c r="FIV48" s="222"/>
      <c r="FIW48" s="223"/>
      <c r="FIX48" s="223"/>
      <c r="FIY48" s="224"/>
      <c r="FIZ48" s="223"/>
      <c r="FJA48" s="223"/>
      <c r="FJB48" s="223"/>
      <c r="FJC48" s="223"/>
      <c r="FJD48" s="225"/>
      <c r="FJE48" s="220"/>
      <c r="FJF48" s="221"/>
      <c r="FJG48" s="222"/>
      <c r="FJH48" s="222"/>
      <c r="FJI48" s="223"/>
      <c r="FJJ48" s="223"/>
      <c r="FJK48" s="224"/>
      <c r="FJL48" s="223"/>
      <c r="FJM48" s="223"/>
      <c r="FJN48" s="223"/>
      <c r="FJO48" s="223"/>
      <c r="FJP48" s="225"/>
      <c r="FJQ48" s="220"/>
      <c r="FJR48" s="221"/>
      <c r="FJS48" s="222"/>
      <c r="FJT48" s="222"/>
      <c r="FJU48" s="223"/>
      <c r="FJV48" s="223"/>
      <c r="FJW48" s="224"/>
      <c r="FJX48" s="223"/>
      <c r="FJY48" s="223"/>
      <c r="FJZ48" s="223"/>
      <c r="FKA48" s="223"/>
      <c r="FKB48" s="225"/>
      <c r="FKC48" s="220"/>
      <c r="FKD48" s="221"/>
      <c r="FKE48" s="222"/>
      <c r="FKF48" s="222"/>
      <c r="FKG48" s="223"/>
      <c r="FKH48" s="223"/>
      <c r="FKI48" s="224"/>
      <c r="FKJ48" s="223"/>
      <c r="FKK48" s="223"/>
      <c r="FKL48" s="223"/>
      <c r="FKM48" s="223"/>
      <c r="FKN48" s="225"/>
      <c r="FKO48" s="220"/>
      <c r="FKP48" s="221"/>
      <c r="FKQ48" s="222"/>
      <c r="FKR48" s="222"/>
      <c r="FKS48" s="223"/>
      <c r="FKT48" s="223"/>
      <c r="FKU48" s="224"/>
      <c r="FKV48" s="223"/>
      <c r="FKW48" s="223"/>
      <c r="FKX48" s="223"/>
      <c r="FKY48" s="223"/>
      <c r="FKZ48" s="225"/>
      <c r="FLA48" s="220"/>
      <c r="FLB48" s="221"/>
      <c r="FLC48" s="222"/>
      <c r="FLD48" s="222"/>
      <c r="FLE48" s="223"/>
      <c r="FLF48" s="223"/>
      <c r="FLG48" s="224"/>
      <c r="FLH48" s="223"/>
      <c r="FLI48" s="223"/>
      <c r="FLJ48" s="223"/>
      <c r="FLK48" s="223"/>
      <c r="FLL48" s="225"/>
      <c r="FLM48" s="220"/>
      <c r="FLN48" s="221"/>
      <c r="FLO48" s="222"/>
      <c r="FLP48" s="222"/>
      <c r="FLQ48" s="223"/>
      <c r="FLR48" s="223"/>
      <c r="FLS48" s="224"/>
      <c r="FLT48" s="223"/>
      <c r="FLU48" s="223"/>
      <c r="FLV48" s="223"/>
      <c r="FLW48" s="223"/>
      <c r="FLX48" s="225"/>
      <c r="FLY48" s="220"/>
      <c r="FLZ48" s="221"/>
      <c r="FMA48" s="222"/>
      <c r="FMB48" s="222"/>
      <c r="FMC48" s="223"/>
      <c r="FMD48" s="223"/>
      <c r="FME48" s="224"/>
      <c r="FMF48" s="223"/>
      <c r="FMG48" s="223"/>
      <c r="FMH48" s="223"/>
      <c r="FMI48" s="223"/>
      <c r="FMJ48" s="225"/>
      <c r="FMK48" s="220"/>
      <c r="FML48" s="221"/>
      <c r="FMM48" s="222"/>
      <c r="FMN48" s="222"/>
      <c r="FMO48" s="223"/>
      <c r="FMP48" s="223"/>
      <c r="FMQ48" s="224"/>
      <c r="FMR48" s="223"/>
      <c r="FMS48" s="223"/>
      <c r="FMT48" s="223"/>
      <c r="FMU48" s="223"/>
      <c r="FMV48" s="225"/>
      <c r="FMW48" s="220"/>
      <c r="FMX48" s="221"/>
      <c r="FMY48" s="222"/>
      <c r="FMZ48" s="222"/>
      <c r="FNA48" s="223"/>
      <c r="FNB48" s="223"/>
      <c r="FNC48" s="224"/>
      <c r="FND48" s="223"/>
      <c r="FNE48" s="223"/>
      <c r="FNF48" s="223"/>
      <c r="FNG48" s="223"/>
      <c r="FNH48" s="225"/>
      <c r="FNI48" s="220"/>
      <c r="FNJ48" s="221"/>
      <c r="FNK48" s="222"/>
      <c r="FNL48" s="222"/>
      <c r="FNM48" s="223"/>
      <c r="FNN48" s="223"/>
      <c r="FNO48" s="224"/>
      <c r="FNP48" s="223"/>
      <c r="FNQ48" s="223"/>
      <c r="FNR48" s="223"/>
      <c r="FNS48" s="223"/>
      <c r="FNT48" s="225"/>
      <c r="FNU48" s="220"/>
      <c r="FNV48" s="221"/>
      <c r="FNW48" s="222"/>
      <c r="FNX48" s="222"/>
      <c r="FNY48" s="223"/>
      <c r="FNZ48" s="223"/>
      <c r="FOA48" s="224"/>
      <c r="FOB48" s="223"/>
      <c r="FOC48" s="223"/>
      <c r="FOD48" s="223"/>
      <c r="FOE48" s="223"/>
      <c r="FOF48" s="225"/>
      <c r="FOG48" s="220"/>
      <c r="FOH48" s="221"/>
      <c r="FOI48" s="222"/>
      <c r="FOJ48" s="222"/>
      <c r="FOK48" s="223"/>
      <c r="FOL48" s="223"/>
      <c r="FOM48" s="224"/>
      <c r="FON48" s="223"/>
      <c r="FOO48" s="223"/>
      <c r="FOP48" s="223"/>
      <c r="FOQ48" s="223"/>
      <c r="FOR48" s="225"/>
      <c r="FOS48" s="220"/>
      <c r="FOT48" s="221"/>
      <c r="FOU48" s="222"/>
      <c r="FOV48" s="222"/>
      <c r="FOW48" s="223"/>
      <c r="FOX48" s="223"/>
      <c r="FOY48" s="224"/>
      <c r="FOZ48" s="223"/>
      <c r="FPA48" s="223"/>
      <c r="FPB48" s="223"/>
      <c r="FPC48" s="223"/>
      <c r="FPD48" s="225"/>
      <c r="FPE48" s="220"/>
      <c r="FPF48" s="221"/>
      <c r="FPG48" s="222"/>
      <c r="FPH48" s="222"/>
      <c r="FPI48" s="223"/>
      <c r="FPJ48" s="223"/>
      <c r="FPK48" s="224"/>
      <c r="FPL48" s="223"/>
      <c r="FPM48" s="223"/>
      <c r="FPN48" s="223"/>
      <c r="FPO48" s="223"/>
      <c r="FPP48" s="225"/>
      <c r="FPQ48" s="220"/>
      <c r="FPR48" s="221"/>
      <c r="FPS48" s="222"/>
      <c r="FPT48" s="222"/>
      <c r="FPU48" s="223"/>
      <c r="FPV48" s="223"/>
      <c r="FPW48" s="224"/>
      <c r="FPX48" s="223"/>
      <c r="FPY48" s="223"/>
      <c r="FPZ48" s="223"/>
      <c r="FQA48" s="223"/>
      <c r="FQB48" s="225"/>
      <c r="FQC48" s="220"/>
      <c r="FQD48" s="221"/>
      <c r="FQE48" s="222"/>
      <c r="FQF48" s="222"/>
      <c r="FQG48" s="223"/>
      <c r="FQH48" s="223"/>
      <c r="FQI48" s="224"/>
      <c r="FQJ48" s="223"/>
      <c r="FQK48" s="223"/>
      <c r="FQL48" s="223"/>
      <c r="FQM48" s="223"/>
      <c r="FQN48" s="225"/>
      <c r="FQO48" s="220"/>
      <c r="FQP48" s="221"/>
      <c r="FQQ48" s="222"/>
      <c r="FQR48" s="222"/>
      <c r="FQS48" s="223"/>
      <c r="FQT48" s="223"/>
      <c r="FQU48" s="224"/>
      <c r="FQV48" s="223"/>
      <c r="FQW48" s="223"/>
      <c r="FQX48" s="223"/>
      <c r="FQY48" s="223"/>
      <c r="FQZ48" s="225"/>
      <c r="FRA48" s="220"/>
      <c r="FRB48" s="221"/>
      <c r="FRC48" s="222"/>
      <c r="FRD48" s="222"/>
      <c r="FRE48" s="223"/>
      <c r="FRF48" s="223"/>
      <c r="FRG48" s="224"/>
      <c r="FRH48" s="223"/>
      <c r="FRI48" s="223"/>
      <c r="FRJ48" s="223"/>
      <c r="FRK48" s="223"/>
      <c r="FRL48" s="225"/>
      <c r="FRM48" s="220"/>
      <c r="FRN48" s="221"/>
      <c r="FRO48" s="222"/>
      <c r="FRP48" s="222"/>
      <c r="FRQ48" s="223"/>
      <c r="FRR48" s="223"/>
      <c r="FRS48" s="224"/>
      <c r="FRT48" s="223"/>
      <c r="FRU48" s="223"/>
      <c r="FRV48" s="223"/>
      <c r="FRW48" s="223"/>
      <c r="FRX48" s="225"/>
      <c r="FRY48" s="220"/>
      <c r="FRZ48" s="221"/>
      <c r="FSA48" s="222"/>
      <c r="FSB48" s="222"/>
      <c r="FSC48" s="223"/>
      <c r="FSD48" s="223"/>
      <c r="FSE48" s="224"/>
      <c r="FSF48" s="223"/>
      <c r="FSG48" s="223"/>
      <c r="FSH48" s="223"/>
      <c r="FSI48" s="223"/>
      <c r="FSJ48" s="225"/>
      <c r="FSK48" s="220"/>
      <c r="FSL48" s="221"/>
      <c r="FSM48" s="222"/>
      <c r="FSN48" s="222"/>
      <c r="FSO48" s="223"/>
      <c r="FSP48" s="223"/>
      <c r="FSQ48" s="224"/>
      <c r="FSR48" s="223"/>
      <c r="FSS48" s="223"/>
      <c r="FST48" s="223"/>
      <c r="FSU48" s="223"/>
      <c r="FSV48" s="225"/>
      <c r="FSW48" s="220"/>
      <c r="FSX48" s="221"/>
      <c r="FSY48" s="222"/>
      <c r="FSZ48" s="222"/>
      <c r="FTA48" s="223"/>
      <c r="FTB48" s="223"/>
      <c r="FTC48" s="224"/>
      <c r="FTD48" s="223"/>
      <c r="FTE48" s="223"/>
      <c r="FTF48" s="223"/>
      <c r="FTG48" s="223"/>
      <c r="FTH48" s="225"/>
      <c r="FTI48" s="220"/>
      <c r="FTJ48" s="221"/>
      <c r="FTK48" s="222"/>
      <c r="FTL48" s="222"/>
      <c r="FTM48" s="223"/>
      <c r="FTN48" s="223"/>
      <c r="FTO48" s="224"/>
      <c r="FTP48" s="223"/>
      <c r="FTQ48" s="223"/>
      <c r="FTR48" s="223"/>
      <c r="FTS48" s="223"/>
      <c r="FTT48" s="225"/>
      <c r="FTU48" s="220"/>
      <c r="FTV48" s="221"/>
      <c r="FTW48" s="222"/>
      <c r="FTX48" s="222"/>
      <c r="FTY48" s="223"/>
      <c r="FTZ48" s="223"/>
      <c r="FUA48" s="224"/>
      <c r="FUB48" s="223"/>
      <c r="FUC48" s="223"/>
      <c r="FUD48" s="223"/>
      <c r="FUE48" s="223"/>
      <c r="FUF48" s="225"/>
      <c r="FUG48" s="220"/>
      <c r="FUH48" s="221"/>
      <c r="FUI48" s="222"/>
      <c r="FUJ48" s="222"/>
      <c r="FUK48" s="223"/>
      <c r="FUL48" s="223"/>
      <c r="FUM48" s="224"/>
      <c r="FUN48" s="223"/>
      <c r="FUO48" s="223"/>
      <c r="FUP48" s="223"/>
      <c r="FUQ48" s="223"/>
      <c r="FUR48" s="225"/>
      <c r="FUS48" s="220"/>
      <c r="FUT48" s="221"/>
      <c r="FUU48" s="222"/>
      <c r="FUV48" s="222"/>
      <c r="FUW48" s="223"/>
      <c r="FUX48" s="223"/>
      <c r="FUY48" s="224"/>
      <c r="FUZ48" s="223"/>
      <c r="FVA48" s="223"/>
      <c r="FVB48" s="223"/>
      <c r="FVC48" s="223"/>
      <c r="FVD48" s="225"/>
      <c r="FVE48" s="220"/>
      <c r="FVF48" s="221"/>
      <c r="FVG48" s="222"/>
      <c r="FVH48" s="222"/>
      <c r="FVI48" s="223"/>
      <c r="FVJ48" s="223"/>
      <c r="FVK48" s="224"/>
      <c r="FVL48" s="223"/>
      <c r="FVM48" s="223"/>
      <c r="FVN48" s="223"/>
      <c r="FVO48" s="223"/>
      <c r="FVP48" s="225"/>
      <c r="FVQ48" s="220"/>
      <c r="FVR48" s="221"/>
      <c r="FVS48" s="222"/>
      <c r="FVT48" s="222"/>
      <c r="FVU48" s="223"/>
      <c r="FVV48" s="223"/>
      <c r="FVW48" s="224"/>
      <c r="FVX48" s="223"/>
      <c r="FVY48" s="223"/>
      <c r="FVZ48" s="223"/>
      <c r="FWA48" s="223"/>
      <c r="FWB48" s="225"/>
      <c r="FWC48" s="220"/>
      <c r="FWD48" s="221"/>
      <c r="FWE48" s="222"/>
      <c r="FWF48" s="222"/>
      <c r="FWG48" s="223"/>
      <c r="FWH48" s="223"/>
      <c r="FWI48" s="224"/>
      <c r="FWJ48" s="223"/>
      <c r="FWK48" s="223"/>
      <c r="FWL48" s="223"/>
      <c r="FWM48" s="223"/>
      <c r="FWN48" s="225"/>
      <c r="FWO48" s="220"/>
      <c r="FWP48" s="221"/>
      <c r="FWQ48" s="222"/>
      <c r="FWR48" s="222"/>
      <c r="FWS48" s="223"/>
      <c r="FWT48" s="223"/>
      <c r="FWU48" s="224"/>
      <c r="FWV48" s="223"/>
      <c r="FWW48" s="223"/>
      <c r="FWX48" s="223"/>
      <c r="FWY48" s="223"/>
      <c r="FWZ48" s="225"/>
      <c r="FXA48" s="220"/>
      <c r="FXB48" s="221"/>
      <c r="FXC48" s="222"/>
      <c r="FXD48" s="222"/>
      <c r="FXE48" s="223"/>
      <c r="FXF48" s="223"/>
      <c r="FXG48" s="224"/>
      <c r="FXH48" s="223"/>
      <c r="FXI48" s="223"/>
      <c r="FXJ48" s="223"/>
      <c r="FXK48" s="223"/>
      <c r="FXL48" s="225"/>
      <c r="FXM48" s="220"/>
      <c r="FXN48" s="221"/>
      <c r="FXO48" s="222"/>
      <c r="FXP48" s="222"/>
      <c r="FXQ48" s="223"/>
      <c r="FXR48" s="223"/>
      <c r="FXS48" s="224"/>
      <c r="FXT48" s="223"/>
      <c r="FXU48" s="223"/>
      <c r="FXV48" s="223"/>
      <c r="FXW48" s="223"/>
      <c r="FXX48" s="225"/>
      <c r="FXY48" s="220"/>
      <c r="FXZ48" s="221"/>
      <c r="FYA48" s="222"/>
      <c r="FYB48" s="222"/>
      <c r="FYC48" s="223"/>
      <c r="FYD48" s="223"/>
      <c r="FYE48" s="224"/>
      <c r="FYF48" s="223"/>
      <c r="FYG48" s="223"/>
      <c r="FYH48" s="223"/>
      <c r="FYI48" s="223"/>
      <c r="FYJ48" s="225"/>
      <c r="FYK48" s="220"/>
      <c r="FYL48" s="221"/>
      <c r="FYM48" s="222"/>
      <c r="FYN48" s="222"/>
      <c r="FYO48" s="223"/>
      <c r="FYP48" s="223"/>
      <c r="FYQ48" s="224"/>
      <c r="FYR48" s="223"/>
      <c r="FYS48" s="223"/>
      <c r="FYT48" s="223"/>
      <c r="FYU48" s="223"/>
      <c r="FYV48" s="225"/>
      <c r="FYW48" s="220"/>
      <c r="FYX48" s="221"/>
      <c r="FYY48" s="222"/>
      <c r="FYZ48" s="222"/>
      <c r="FZA48" s="223"/>
      <c r="FZB48" s="223"/>
      <c r="FZC48" s="224"/>
      <c r="FZD48" s="223"/>
      <c r="FZE48" s="223"/>
      <c r="FZF48" s="223"/>
      <c r="FZG48" s="223"/>
      <c r="FZH48" s="225"/>
      <c r="FZI48" s="220"/>
      <c r="FZJ48" s="221"/>
      <c r="FZK48" s="222"/>
      <c r="FZL48" s="222"/>
      <c r="FZM48" s="223"/>
      <c r="FZN48" s="223"/>
      <c r="FZO48" s="224"/>
      <c r="FZP48" s="223"/>
      <c r="FZQ48" s="223"/>
      <c r="FZR48" s="223"/>
      <c r="FZS48" s="223"/>
      <c r="FZT48" s="225"/>
      <c r="FZU48" s="220"/>
      <c r="FZV48" s="221"/>
      <c r="FZW48" s="222"/>
      <c r="FZX48" s="222"/>
      <c r="FZY48" s="223"/>
      <c r="FZZ48" s="223"/>
      <c r="GAA48" s="224"/>
      <c r="GAB48" s="223"/>
      <c r="GAC48" s="223"/>
      <c r="GAD48" s="223"/>
      <c r="GAE48" s="223"/>
      <c r="GAF48" s="225"/>
      <c r="GAG48" s="220"/>
      <c r="GAH48" s="221"/>
      <c r="GAI48" s="222"/>
      <c r="GAJ48" s="222"/>
      <c r="GAK48" s="223"/>
      <c r="GAL48" s="223"/>
      <c r="GAM48" s="224"/>
      <c r="GAN48" s="223"/>
      <c r="GAO48" s="223"/>
      <c r="GAP48" s="223"/>
      <c r="GAQ48" s="223"/>
      <c r="GAR48" s="225"/>
      <c r="GAS48" s="220"/>
      <c r="GAT48" s="221"/>
      <c r="GAU48" s="222"/>
      <c r="GAV48" s="222"/>
      <c r="GAW48" s="223"/>
      <c r="GAX48" s="223"/>
      <c r="GAY48" s="224"/>
      <c r="GAZ48" s="223"/>
      <c r="GBA48" s="223"/>
      <c r="GBB48" s="223"/>
      <c r="GBC48" s="223"/>
      <c r="GBD48" s="225"/>
      <c r="GBE48" s="220"/>
      <c r="GBF48" s="221"/>
      <c r="GBG48" s="222"/>
      <c r="GBH48" s="222"/>
      <c r="GBI48" s="223"/>
      <c r="GBJ48" s="223"/>
      <c r="GBK48" s="224"/>
      <c r="GBL48" s="223"/>
      <c r="GBM48" s="223"/>
      <c r="GBN48" s="223"/>
      <c r="GBO48" s="223"/>
      <c r="GBP48" s="225"/>
      <c r="GBQ48" s="220"/>
      <c r="GBR48" s="221"/>
      <c r="GBS48" s="222"/>
      <c r="GBT48" s="222"/>
      <c r="GBU48" s="223"/>
      <c r="GBV48" s="223"/>
      <c r="GBW48" s="224"/>
      <c r="GBX48" s="223"/>
      <c r="GBY48" s="223"/>
      <c r="GBZ48" s="223"/>
      <c r="GCA48" s="223"/>
      <c r="GCB48" s="225"/>
      <c r="GCC48" s="220"/>
      <c r="GCD48" s="221"/>
      <c r="GCE48" s="222"/>
      <c r="GCF48" s="222"/>
      <c r="GCG48" s="223"/>
      <c r="GCH48" s="223"/>
      <c r="GCI48" s="224"/>
      <c r="GCJ48" s="223"/>
      <c r="GCK48" s="223"/>
      <c r="GCL48" s="223"/>
      <c r="GCM48" s="223"/>
      <c r="GCN48" s="225"/>
      <c r="GCO48" s="220"/>
      <c r="GCP48" s="221"/>
      <c r="GCQ48" s="222"/>
      <c r="GCR48" s="222"/>
      <c r="GCS48" s="223"/>
      <c r="GCT48" s="223"/>
      <c r="GCU48" s="224"/>
      <c r="GCV48" s="223"/>
      <c r="GCW48" s="223"/>
      <c r="GCX48" s="223"/>
      <c r="GCY48" s="223"/>
      <c r="GCZ48" s="225"/>
      <c r="GDA48" s="220"/>
      <c r="GDB48" s="221"/>
      <c r="GDC48" s="222"/>
      <c r="GDD48" s="222"/>
      <c r="GDE48" s="223"/>
      <c r="GDF48" s="223"/>
      <c r="GDG48" s="224"/>
      <c r="GDH48" s="223"/>
      <c r="GDI48" s="223"/>
      <c r="GDJ48" s="223"/>
      <c r="GDK48" s="223"/>
      <c r="GDL48" s="225"/>
      <c r="GDM48" s="220"/>
      <c r="GDN48" s="221"/>
      <c r="GDO48" s="222"/>
      <c r="GDP48" s="222"/>
      <c r="GDQ48" s="223"/>
      <c r="GDR48" s="223"/>
      <c r="GDS48" s="224"/>
      <c r="GDT48" s="223"/>
      <c r="GDU48" s="223"/>
      <c r="GDV48" s="223"/>
      <c r="GDW48" s="223"/>
      <c r="GDX48" s="225"/>
      <c r="GDY48" s="220"/>
      <c r="GDZ48" s="221"/>
      <c r="GEA48" s="222"/>
      <c r="GEB48" s="222"/>
      <c r="GEC48" s="223"/>
      <c r="GED48" s="223"/>
      <c r="GEE48" s="224"/>
      <c r="GEF48" s="223"/>
      <c r="GEG48" s="223"/>
      <c r="GEH48" s="223"/>
      <c r="GEI48" s="223"/>
      <c r="GEJ48" s="225"/>
      <c r="GEK48" s="220"/>
      <c r="GEL48" s="221"/>
      <c r="GEM48" s="222"/>
      <c r="GEN48" s="222"/>
      <c r="GEO48" s="223"/>
      <c r="GEP48" s="223"/>
      <c r="GEQ48" s="224"/>
      <c r="GER48" s="223"/>
      <c r="GES48" s="223"/>
      <c r="GET48" s="223"/>
      <c r="GEU48" s="223"/>
      <c r="GEV48" s="225"/>
      <c r="GEW48" s="220"/>
      <c r="GEX48" s="221"/>
      <c r="GEY48" s="222"/>
      <c r="GEZ48" s="222"/>
      <c r="GFA48" s="223"/>
      <c r="GFB48" s="223"/>
      <c r="GFC48" s="224"/>
      <c r="GFD48" s="223"/>
      <c r="GFE48" s="223"/>
      <c r="GFF48" s="223"/>
      <c r="GFG48" s="223"/>
      <c r="GFH48" s="225"/>
      <c r="GFI48" s="220"/>
      <c r="GFJ48" s="221"/>
      <c r="GFK48" s="222"/>
      <c r="GFL48" s="222"/>
      <c r="GFM48" s="223"/>
      <c r="GFN48" s="223"/>
      <c r="GFO48" s="224"/>
      <c r="GFP48" s="223"/>
      <c r="GFQ48" s="223"/>
      <c r="GFR48" s="223"/>
      <c r="GFS48" s="223"/>
      <c r="GFT48" s="225"/>
      <c r="GFU48" s="220"/>
      <c r="GFV48" s="221"/>
      <c r="GFW48" s="222"/>
      <c r="GFX48" s="222"/>
      <c r="GFY48" s="223"/>
      <c r="GFZ48" s="223"/>
      <c r="GGA48" s="224"/>
      <c r="GGB48" s="223"/>
      <c r="GGC48" s="223"/>
      <c r="GGD48" s="223"/>
      <c r="GGE48" s="223"/>
      <c r="GGF48" s="225"/>
      <c r="GGG48" s="220"/>
      <c r="GGH48" s="221"/>
      <c r="GGI48" s="222"/>
      <c r="GGJ48" s="222"/>
      <c r="GGK48" s="223"/>
      <c r="GGL48" s="223"/>
      <c r="GGM48" s="224"/>
      <c r="GGN48" s="223"/>
      <c r="GGO48" s="223"/>
      <c r="GGP48" s="223"/>
      <c r="GGQ48" s="223"/>
      <c r="GGR48" s="225"/>
      <c r="GGS48" s="220"/>
      <c r="GGT48" s="221"/>
      <c r="GGU48" s="222"/>
      <c r="GGV48" s="222"/>
      <c r="GGW48" s="223"/>
      <c r="GGX48" s="223"/>
      <c r="GGY48" s="224"/>
      <c r="GGZ48" s="223"/>
      <c r="GHA48" s="223"/>
      <c r="GHB48" s="223"/>
      <c r="GHC48" s="223"/>
      <c r="GHD48" s="225"/>
      <c r="GHE48" s="220"/>
      <c r="GHF48" s="221"/>
      <c r="GHG48" s="222"/>
      <c r="GHH48" s="222"/>
      <c r="GHI48" s="223"/>
      <c r="GHJ48" s="223"/>
      <c r="GHK48" s="224"/>
      <c r="GHL48" s="223"/>
      <c r="GHM48" s="223"/>
      <c r="GHN48" s="223"/>
      <c r="GHO48" s="223"/>
      <c r="GHP48" s="225"/>
      <c r="GHQ48" s="220"/>
      <c r="GHR48" s="221"/>
      <c r="GHS48" s="222"/>
      <c r="GHT48" s="222"/>
      <c r="GHU48" s="223"/>
      <c r="GHV48" s="223"/>
      <c r="GHW48" s="224"/>
      <c r="GHX48" s="223"/>
      <c r="GHY48" s="223"/>
      <c r="GHZ48" s="223"/>
      <c r="GIA48" s="223"/>
      <c r="GIB48" s="225"/>
      <c r="GIC48" s="220"/>
      <c r="GID48" s="221"/>
      <c r="GIE48" s="222"/>
      <c r="GIF48" s="222"/>
      <c r="GIG48" s="223"/>
      <c r="GIH48" s="223"/>
      <c r="GII48" s="224"/>
      <c r="GIJ48" s="223"/>
      <c r="GIK48" s="223"/>
      <c r="GIL48" s="223"/>
      <c r="GIM48" s="223"/>
      <c r="GIN48" s="225"/>
      <c r="GIO48" s="220"/>
      <c r="GIP48" s="221"/>
      <c r="GIQ48" s="222"/>
      <c r="GIR48" s="222"/>
      <c r="GIS48" s="223"/>
      <c r="GIT48" s="223"/>
      <c r="GIU48" s="224"/>
      <c r="GIV48" s="223"/>
      <c r="GIW48" s="223"/>
      <c r="GIX48" s="223"/>
      <c r="GIY48" s="223"/>
      <c r="GIZ48" s="225"/>
      <c r="GJA48" s="220"/>
      <c r="GJB48" s="221"/>
      <c r="GJC48" s="222"/>
      <c r="GJD48" s="222"/>
      <c r="GJE48" s="223"/>
      <c r="GJF48" s="223"/>
      <c r="GJG48" s="224"/>
      <c r="GJH48" s="223"/>
      <c r="GJI48" s="223"/>
      <c r="GJJ48" s="223"/>
      <c r="GJK48" s="223"/>
      <c r="GJL48" s="225"/>
      <c r="GJM48" s="220"/>
      <c r="GJN48" s="221"/>
      <c r="GJO48" s="222"/>
      <c r="GJP48" s="222"/>
      <c r="GJQ48" s="223"/>
      <c r="GJR48" s="223"/>
      <c r="GJS48" s="224"/>
      <c r="GJT48" s="223"/>
      <c r="GJU48" s="223"/>
      <c r="GJV48" s="223"/>
      <c r="GJW48" s="223"/>
      <c r="GJX48" s="225"/>
      <c r="GJY48" s="220"/>
      <c r="GJZ48" s="221"/>
      <c r="GKA48" s="222"/>
      <c r="GKB48" s="222"/>
      <c r="GKC48" s="223"/>
      <c r="GKD48" s="223"/>
      <c r="GKE48" s="224"/>
      <c r="GKF48" s="223"/>
      <c r="GKG48" s="223"/>
      <c r="GKH48" s="223"/>
      <c r="GKI48" s="223"/>
      <c r="GKJ48" s="225"/>
      <c r="GKK48" s="220"/>
      <c r="GKL48" s="221"/>
      <c r="GKM48" s="222"/>
      <c r="GKN48" s="222"/>
      <c r="GKO48" s="223"/>
      <c r="GKP48" s="223"/>
      <c r="GKQ48" s="224"/>
      <c r="GKR48" s="223"/>
      <c r="GKS48" s="223"/>
      <c r="GKT48" s="223"/>
      <c r="GKU48" s="223"/>
      <c r="GKV48" s="225"/>
      <c r="GKW48" s="220"/>
      <c r="GKX48" s="221"/>
      <c r="GKY48" s="222"/>
      <c r="GKZ48" s="222"/>
      <c r="GLA48" s="223"/>
      <c r="GLB48" s="223"/>
      <c r="GLC48" s="224"/>
      <c r="GLD48" s="223"/>
      <c r="GLE48" s="223"/>
      <c r="GLF48" s="223"/>
      <c r="GLG48" s="223"/>
      <c r="GLH48" s="225"/>
      <c r="GLI48" s="220"/>
      <c r="GLJ48" s="221"/>
      <c r="GLK48" s="222"/>
      <c r="GLL48" s="222"/>
      <c r="GLM48" s="223"/>
      <c r="GLN48" s="223"/>
      <c r="GLO48" s="224"/>
      <c r="GLP48" s="223"/>
      <c r="GLQ48" s="223"/>
      <c r="GLR48" s="223"/>
      <c r="GLS48" s="223"/>
      <c r="GLT48" s="225"/>
      <c r="GLU48" s="220"/>
      <c r="GLV48" s="221"/>
      <c r="GLW48" s="222"/>
      <c r="GLX48" s="222"/>
      <c r="GLY48" s="223"/>
      <c r="GLZ48" s="223"/>
      <c r="GMA48" s="224"/>
      <c r="GMB48" s="223"/>
      <c r="GMC48" s="223"/>
      <c r="GMD48" s="223"/>
      <c r="GME48" s="223"/>
      <c r="GMF48" s="225"/>
      <c r="GMG48" s="220"/>
      <c r="GMH48" s="221"/>
      <c r="GMI48" s="222"/>
      <c r="GMJ48" s="222"/>
      <c r="GMK48" s="223"/>
      <c r="GML48" s="223"/>
      <c r="GMM48" s="224"/>
      <c r="GMN48" s="223"/>
      <c r="GMO48" s="223"/>
      <c r="GMP48" s="223"/>
      <c r="GMQ48" s="223"/>
      <c r="GMR48" s="225"/>
      <c r="GMS48" s="220"/>
      <c r="GMT48" s="221"/>
      <c r="GMU48" s="222"/>
      <c r="GMV48" s="222"/>
      <c r="GMW48" s="223"/>
      <c r="GMX48" s="223"/>
      <c r="GMY48" s="224"/>
      <c r="GMZ48" s="223"/>
      <c r="GNA48" s="223"/>
      <c r="GNB48" s="223"/>
      <c r="GNC48" s="223"/>
      <c r="GND48" s="225"/>
      <c r="GNE48" s="220"/>
      <c r="GNF48" s="221"/>
      <c r="GNG48" s="222"/>
      <c r="GNH48" s="222"/>
      <c r="GNI48" s="223"/>
      <c r="GNJ48" s="223"/>
      <c r="GNK48" s="224"/>
      <c r="GNL48" s="223"/>
      <c r="GNM48" s="223"/>
      <c r="GNN48" s="223"/>
      <c r="GNO48" s="223"/>
      <c r="GNP48" s="225"/>
      <c r="GNQ48" s="220"/>
      <c r="GNR48" s="221"/>
      <c r="GNS48" s="222"/>
      <c r="GNT48" s="222"/>
      <c r="GNU48" s="223"/>
      <c r="GNV48" s="223"/>
      <c r="GNW48" s="224"/>
      <c r="GNX48" s="223"/>
      <c r="GNY48" s="223"/>
      <c r="GNZ48" s="223"/>
      <c r="GOA48" s="223"/>
      <c r="GOB48" s="225"/>
      <c r="GOC48" s="220"/>
      <c r="GOD48" s="221"/>
      <c r="GOE48" s="222"/>
      <c r="GOF48" s="222"/>
      <c r="GOG48" s="223"/>
      <c r="GOH48" s="223"/>
      <c r="GOI48" s="224"/>
      <c r="GOJ48" s="223"/>
      <c r="GOK48" s="223"/>
      <c r="GOL48" s="223"/>
      <c r="GOM48" s="223"/>
      <c r="GON48" s="225"/>
      <c r="GOO48" s="220"/>
      <c r="GOP48" s="221"/>
      <c r="GOQ48" s="222"/>
      <c r="GOR48" s="222"/>
      <c r="GOS48" s="223"/>
      <c r="GOT48" s="223"/>
      <c r="GOU48" s="224"/>
      <c r="GOV48" s="223"/>
      <c r="GOW48" s="223"/>
      <c r="GOX48" s="223"/>
      <c r="GOY48" s="223"/>
      <c r="GOZ48" s="225"/>
      <c r="GPA48" s="220"/>
      <c r="GPB48" s="221"/>
      <c r="GPC48" s="222"/>
      <c r="GPD48" s="222"/>
      <c r="GPE48" s="223"/>
      <c r="GPF48" s="223"/>
      <c r="GPG48" s="224"/>
      <c r="GPH48" s="223"/>
      <c r="GPI48" s="223"/>
      <c r="GPJ48" s="223"/>
      <c r="GPK48" s="223"/>
      <c r="GPL48" s="225"/>
      <c r="GPM48" s="220"/>
      <c r="GPN48" s="221"/>
      <c r="GPO48" s="222"/>
      <c r="GPP48" s="222"/>
      <c r="GPQ48" s="223"/>
      <c r="GPR48" s="223"/>
      <c r="GPS48" s="224"/>
      <c r="GPT48" s="223"/>
      <c r="GPU48" s="223"/>
      <c r="GPV48" s="223"/>
      <c r="GPW48" s="223"/>
      <c r="GPX48" s="225"/>
      <c r="GPY48" s="220"/>
      <c r="GPZ48" s="221"/>
      <c r="GQA48" s="222"/>
      <c r="GQB48" s="222"/>
      <c r="GQC48" s="223"/>
      <c r="GQD48" s="223"/>
      <c r="GQE48" s="224"/>
      <c r="GQF48" s="223"/>
      <c r="GQG48" s="223"/>
      <c r="GQH48" s="223"/>
      <c r="GQI48" s="223"/>
      <c r="GQJ48" s="225"/>
      <c r="GQK48" s="220"/>
      <c r="GQL48" s="221"/>
      <c r="GQM48" s="222"/>
      <c r="GQN48" s="222"/>
      <c r="GQO48" s="223"/>
      <c r="GQP48" s="223"/>
      <c r="GQQ48" s="224"/>
      <c r="GQR48" s="223"/>
      <c r="GQS48" s="223"/>
      <c r="GQT48" s="223"/>
      <c r="GQU48" s="223"/>
      <c r="GQV48" s="225"/>
      <c r="GQW48" s="220"/>
      <c r="GQX48" s="221"/>
      <c r="GQY48" s="222"/>
      <c r="GQZ48" s="222"/>
      <c r="GRA48" s="223"/>
      <c r="GRB48" s="223"/>
      <c r="GRC48" s="224"/>
      <c r="GRD48" s="223"/>
      <c r="GRE48" s="223"/>
      <c r="GRF48" s="223"/>
      <c r="GRG48" s="223"/>
      <c r="GRH48" s="225"/>
      <c r="GRI48" s="220"/>
      <c r="GRJ48" s="221"/>
      <c r="GRK48" s="222"/>
      <c r="GRL48" s="222"/>
      <c r="GRM48" s="223"/>
      <c r="GRN48" s="223"/>
      <c r="GRO48" s="224"/>
      <c r="GRP48" s="223"/>
      <c r="GRQ48" s="223"/>
      <c r="GRR48" s="223"/>
      <c r="GRS48" s="223"/>
      <c r="GRT48" s="225"/>
      <c r="GRU48" s="220"/>
      <c r="GRV48" s="221"/>
      <c r="GRW48" s="222"/>
      <c r="GRX48" s="222"/>
      <c r="GRY48" s="223"/>
      <c r="GRZ48" s="223"/>
      <c r="GSA48" s="224"/>
      <c r="GSB48" s="223"/>
      <c r="GSC48" s="223"/>
      <c r="GSD48" s="223"/>
      <c r="GSE48" s="223"/>
      <c r="GSF48" s="225"/>
      <c r="GSG48" s="220"/>
      <c r="GSH48" s="221"/>
      <c r="GSI48" s="222"/>
      <c r="GSJ48" s="222"/>
      <c r="GSK48" s="223"/>
      <c r="GSL48" s="223"/>
      <c r="GSM48" s="224"/>
      <c r="GSN48" s="223"/>
      <c r="GSO48" s="223"/>
      <c r="GSP48" s="223"/>
      <c r="GSQ48" s="223"/>
      <c r="GSR48" s="225"/>
      <c r="GSS48" s="220"/>
      <c r="GST48" s="221"/>
      <c r="GSU48" s="222"/>
      <c r="GSV48" s="222"/>
      <c r="GSW48" s="223"/>
      <c r="GSX48" s="223"/>
      <c r="GSY48" s="224"/>
      <c r="GSZ48" s="223"/>
      <c r="GTA48" s="223"/>
      <c r="GTB48" s="223"/>
      <c r="GTC48" s="223"/>
      <c r="GTD48" s="225"/>
      <c r="GTE48" s="220"/>
      <c r="GTF48" s="221"/>
      <c r="GTG48" s="222"/>
      <c r="GTH48" s="222"/>
      <c r="GTI48" s="223"/>
      <c r="GTJ48" s="223"/>
      <c r="GTK48" s="224"/>
      <c r="GTL48" s="223"/>
      <c r="GTM48" s="223"/>
      <c r="GTN48" s="223"/>
      <c r="GTO48" s="223"/>
      <c r="GTP48" s="225"/>
      <c r="GTQ48" s="220"/>
      <c r="GTR48" s="221"/>
      <c r="GTS48" s="222"/>
      <c r="GTT48" s="222"/>
      <c r="GTU48" s="223"/>
      <c r="GTV48" s="223"/>
      <c r="GTW48" s="224"/>
      <c r="GTX48" s="223"/>
      <c r="GTY48" s="223"/>
      <c r="GTZ48" s="223"/>
      <c r="GUA48" s="223"/>
      <c r="GUB48" s="225"/>
      <c r="GUC48" s="220"/>
      <c r="GUD48" s="221"/>
      <c r="GUE48" s="222"/>
      <c r="GUF48" s="222"/>
      <c r="GUG48" s="223"/>
      <c r="GUH48" s="223"/>
      <c r="GUI48" s="224"/>
      <c r="GUJ48" s="223"/>
      <c r="GUK48" s="223"/>
      <c r="GUL48" s="223"/>
      <c r="GUM48" s="223"/>
      <c r="GUN48" s="225"/>
      <c r="GUO48" s="220"/>
      <c r="GUP48" s="221"/>
      <c r="GUQ48" s="222"/>
      <c r="GUR48" s="222"/>
      <c r="GUS48" s="223"/>
      <c r="GUT48" s="223"/>
      <c r="GUU48" s="224"/>
      <c r="GUV48" s="223"/>
      <c r="GUW48" s="223"/>
      <c r="GUX48" s="223"/>
      <c r="GUY48" s="223"/>
      <c r="GUZ48" s="225"/>
      <c r="GVA48" s="220"/>
      <c r="GVB48" s="221"/>
      <c r="GVC48" s="222"/>
      <c r="GVD48" s="222"/>
      <c r="GVE48" s="223"/>
      <c r="GVF48" s="223"/>
      <c r="GVG48" s="224"/>
      <c r="GVH48" s="223"/>
      <c r="GVI48" s="223"/>
      <c r="GVJ48" s="223"/>
      <c r="GVK48" s="223"/>
      <c r="GVL48" s="225"/>
      <c r="GVM48" s="220"/>
      <c r="GVN48" s="221"/>
      <c r="GVO48" s="222"/>
      <c r="GVP48" s="222"/>
      <c r="GVQ48" s="223"/>
      <c r="GVR48" s="223"/>
      <c r="GVS48" s="224"/>
      <c r="GVT48" s="223"/>
      <c r="GVU48" s="223"/>
      <c r="GVV48" s="223"/>
      <c r="GVW48" s="223"/>
      <c r="GVX48" s="225"/>
      <c r="GVY48" s="220"/>
      <c r="GVZ48" s="221"/>
      <c r="GWA48" s="222"/>
      <c r="GWB48" s="222"/>
      <c r="GWC48" s="223"/>
      <c r="GWD48" s="223"/>
      <c r="GWE48" s="224"/>
      <c r="GWF48" s="223"/>
      <c r="GWG48" s="223"/>
      <c r="GWH48" s="223"/>
      <c r="GWI48" s="223"/>
      <c r="GWJ48" s="225"/>
      <c r="GWK48" s="220"/>
      <c r="GWL48" s="221"/>
      <c r="GWM48" s="222"/>
      <c r="GWN48" s="222"/>
      <c r="GWO48" s="223"/>
      <c r="GWP48" s="223"/>
      <c r="GWQ48" s="224"/>
      <c r="GWR48" s="223"/>
      <c r="GWS48" s="223"/>
      <c r="GWT48" s="223"/>
      <c r="GWU48" s="223"/>
      <c r="GWV48" s="225"/>
      <c r="GWW48" s="220"/>
      <c r="GWX48" s="221"/>
      <c r="GWY48" s="222"/>
      <c r="GWZ48" s="222"/>
      <c r="GXA48" s="223"/>
      <c r="GXB48" s="223"/>
      <c r="GXC48" s="224"/>
      <c r="GXD48" s="223"/>
      <c r="GXE48" s="223"/>
      <c r="GXF48" s="223"/>
      <c r="GXG48" s="223"/>
      <c r="GXH48" s="225"/>
      <c r="GXI48" s="220"/>
      <c r="GXJ48" s="221"/>
      <c r="GXK48" s="222"/>
      <c r="GXL48" s="222"/>
      <c r="GXM48" s="223"/>
      <c r="GXN48" s="223"/>
      <c r="GXO48" s="224"/>
      <c r="GXP48" s="223"/>
      <c r="GXQ48" s="223"/>
      <c r="GXR48" s="223"/>
      <c r="GXS48" s="223"/>
      <c r="GXT48" s="225"/>
      <c r="GXU48" s="220"/>
      <c r="GXV48" s="221"/>
      <c r="GXW48" s="222"/>
      <c r="GXX48" s="222"/>
      <c r="GXY48" s="223"/>
      <c r="GXZ48" s="223"/>
      <c r="GYA48" s="224"/>
      <c r="GYB48" s="223"/>
      <c r="GYC48" s="223"/>
      <c r="GYD48" s="223"/>
      <c r="GYE48" s="223"/>
      <c r="GYF48" s="225"/>
      <c r="GYG48" s="220"/>
      <c r="GYH48" s="221"/>
      <c r="GYI48" s="222"/>
      <c r="GYJ48" s="222"/>
      <c r="GYK48" s="223"/>
      <c r="GYL48" s="223"/>
      <c r="GYM48" s="224"/>
      <c r="GYN48" s="223"/>
      <c r="GYO48" s="223"/>
      <c r="GYP48" s="223"/>
      <c r="GYQ48" s="223"/>
      <c r="GYR48" s="225"/>
      <c r="GYS48" s="220"/>
      <c r="GYT48" s="221"/>
      <c r="GYU48" s="222"/>
      <c r="GYV48" s="222"/>
      <c r="GYW48" s="223"/>
      <c r="GYX48" s="223"/>
      <c r="GYY48" s="224"/>
      <c r="GYZ48" s="223"/>
      <c r="GZA48" s="223"/>
      <c r="GZB48" s="223"/>
      <c r="GZC48" s="223"/>
      <c r="GZD48" s="225"/>
      <c r="GZE48" s="220"/>
      <c r="GZF48" s="221"/>
      <c r="GZG48" s="222"/>
      <c r="GZH48" s="222"/>
      <c r="GZI48" s="223"/>
      <c r="GZJ48" s="223"/>
      <c r="GZK48" s="224"/>
      <c r="GZL48" s="223"/>
      <c r="GZM48" s="223"/>
      <c r="GZN48" s="223"/>
      <c r="GZO48" s="223"/>
      <c r="GZP48" s="225"/>
      <c r="GZQ48" s="220"/>
      <c r="GZR48" s="221"/>
      <c r="GZS48" s="222"/>
      <c r="GZT48" s="222"/>
      <c r="GZU48" s="223"/>
      <c r="GZV48" s="223"/>
      <c r="GZW48" s="224"/>
      <c r="GZX48" s="223"/>
      <c r="GZY48" s="223"/>
      <c r="GZZ48" s="223"/>
      <c r="HAA48" s="223"/>
      <c r="HAB48" s="225"/>
      <c r="HAC48" s="220"/>
      <c r="HAD48" s="221"/>
      <c r="HAE48" s="222"/>
      <c r="HAF48" s="222"/>
      <c r="HAG48" s="223"/>
      <c r="HAH48" s="223"/>
      <c r="HAI48" s="224"/>
      <c r="HAJ48" s="223"/>
      <c r="HAK48" s="223"/>
      <c r="HAL48" s="223"/>
      <c r="HAM48" s="223"/>
      <c r="HAN48" s="225"/>
      <c r="HAO48" s="220"/>
      <c r="HAP48" s="221"/>
      <c r="HAQ48" s="222"/>
      <c r="HAR48" s="222"/>
      <c r="HAS48" s="223"/>
      <c r="HAT48" s="223"/>
      <c r="HAU48" s="224"/>
      <c r="HAV48" s="223"/>
      <c r="HAW48" s="223"/>
      <c r="HAX48" s="223"/>
      <c r="HAY48" s="223"/>
      <c r="HAZ48" s="225"/>
      <c r="HBA48" s="220"/>
      <c r="HBB48" s="221"/>
      <c r="HBC48" s="222"/>
      <c r="HBD48" s="222"/>
      <c r="HBE48" s="223"/>
      <c r="HBF48" s="223"/>
      <c r="HBG48" s="224"/>
      <c r="HBH48" s="223"/>
      <c r="HBI48" s="223"/>
      <c r="HBJ48" s="223"/>
      <c r="HBK48" s="223"/>
      <c r="HBL48" s="225"/>
      <c r="HBM48" s="220"/>
      <c r="HBN48" s="221"/>
      <c r="HBO48" s="222"/>
      <c r="HBP48" s="222"/>
      <c r="HBQ48" s="223"/>
      <c r="HBR48" s="223"/>
      <c r="HBS48" s="224"/>
      <c r="HBT48" s="223"/>
      <c r="HBU48" s="223"/>
      <c r="HBV48" s="223"/>
      <c r="HBW48" s="223"/>
      <c r="HBX48" s="225"/>
      <c r="HBY48" s="220"/>
      <c r="HBZ48" s="221"/>
      <c r="HCA48" s="222"/>
      <c r="HCB48" s="222"/>
      <c r="HCC48" s="223"/>
      <c r="HCD48" s="223"/>
      <c r="HCE48" s="224"/>
      <c r="HCF48" s="223"/>
      <c r="HCG48" s="223"/>
      <c r="HCH48" s="223"/>
      <c r="HCI48" s="223"/>
      <c r="HCJ48" s="225"/>
      <c r="HCK48" s="220"/>
      <c r="HCL48" s="221"/>
      <c r="HCM48" s="222"/>
      <c r="HCN48" s="222"/>
      <c r="HCO48" s="223"/>
      <c r="HCP48" s="223"/>
      <c r="HCQ48" s="224"/>
      <c r="HCR48" s="223"/>
      <c r="HCS48" s="223"/>
      <c r="HCT48" s="223"/>
      <c r="HCU48" s="223"/>
      <c r="HCV48" s="225"/>
      <c r="HCW48" s="220"/>
      <c r="HCX48" s="221"/>
      <c r="HCY48" s="222"/>
      <c r="HCZ48" s="222"/>
      <c r="HDA48" s="223"/>
      <c r="HDB48" s="223"/>
      <c r="HDC48" s="224"/>
      <c r="HDD48" s="223"/>
      <c r="HDE48" s="223"/>
      <c r="HDF48" s="223"/>
      <c r="HDG48" s="223"/>
      <c r="HDH48" s="225"/>
      <c r="HDI48" s="220"/>
      <c r="HDJ48" s="221"/>
      <c r="HDK48" s="222"/>
      <c r="HDL48" s="222"/>
      <c r="HDM48" s="223"/>
      <c r="HDN48" s="223"/>
      <c r="HDO48" s="224"/>
      <c r="HDP48" s="223"/>
      <c r="HDQ48" s="223"/>
      <c r="HDR48" s="223"/>
      <c r="HDS48" s="223"/>
      <c r="HDT48" s="225"/>
      <c r="HDU48" s="220"/>
      <c r="HDV48" s="221"/>
      <c r="HDW48" s="222"/>
      <c r="HDX48" s="222"/>
      <c r="HDY48" s="223"/>
      <c r="HDZ48" s="223"/>
      <c r="HEA48" s="224"/>
      <c r="HEB48" s="223"/>
      <c r="HEC48" s="223"/>
      <c r="HED48" s="223"/>
      <c r="HEE48" s="223"/>
      <c r="HEF48" s="225"/>
      <c r="HEG48" s="220"/>
      <c r="HEH48" s="221"/>
      <c r="HEI48" s="222"/>
      <c r="HEJ48" s="222"/>
      <c r="HEK48" s="223"/>
      <c r="HEL48" s="223"/>
      <c r="HEM48" s="224"/>
      <c r="HEN48" s="223"/>
      <c r="HEO48" s="223"/>
      <c r="HEP48" s="223"/>
      <c r="HEQ48" s="223"/>
      <c r="HER48" s="225"/>
      <c r="HES48" s="220"/>
      <c r="HET48" s="221"/>
      <c r="HEU48" s="222"/>
      <c r="HEV48" s="222"/>
      <c r="HEW48" s="223"/>
      <c r="HEX48" s="223"/>
      <c r="HEY48" s="224"/>
      <c r="HEZ48" s="223"/>
      <c r="HFA48" s="223"/>
      <c r="HFB48" s="223"/>
      <c r="HFC48" s="223"/>
      <c r="HFD48" s="225"/>
      <c r="HFE48" s="220"/>
      <c r="HFF48" s="221"/>
      <c r="HFG48" s="222"/>
      <c r="HFH48" s="222"/>
      <c r="HFI48" s="223"/>
      <c r="HFJ48" s="223"/>
      <c r="HFK48" s="224"/>
      <c r="HFL48" s="223"/>
      <c r="HFM48" s="223"/>
      <c r="HFN48" s="223"/>
      <c r="HFO48" s="223"/>
      <c r="HFP48" s="225"/>
      <c r="HFQ48" s="220"/>
      <c r="HFR48" s="221"/>
      <c r="HFS48" s="222"/>
      <c r="HFT48" s="222"/>
      <c r="HFU48" s="223"/>
      <c r="HFV48" s="223"/>
      <c r="HFW48" s="224"/>
      <c r="HFX48" s="223"/>
      <c r="HFY48" s="223"/>
      <c r="HFZ48" s="223"/>
      <c r="HGA48" s="223"/>
      <c r="HGB48" s="225"/>
      <c r="HGC48" s="220"/>
      <c r="HGD48" s="221"/>
      <c r="HGE48" s="222"/>
      <c r="HGF48" s="222"/>
      <c r="HGG48" s="223"/>
      <c r="HGH48" s="223"/>
      <c r="HGI48" s="224"/>
      <c r="HGJ48" s="223"/>
      <c r="HGK48" s="223"/>
      <c r="HGL48" s="223"/>
      <c r="HGM48" s="223"/>
      <c r="HGN48" s="225"/>
      <c r="HGO48" s="220"/>
      <c r="HGP48" s="221"/>
      <c r="HGQ48" s="222"/>
      <c r="HGR48" s="222"/>
      <c r="HGS48" s="223"/>
      <c r="HGT48" s="223"/>
      <c r="HGU48" s="224"/>
      <c r="HGV48" s="223"/>
      <c r="HGW48" s="223"/>
      <c r="HGX48" s="223"/>
      <c r="HGY48" s="223"/>
      <c r="HGZ48" s="225"/>
      <c r="HHA48" s="220"/>
      <c r="HHB48" s="221"/>
      <c r="HHC48" s="222"/>
      <c r="HHD48" s="222"/>
      <c r="HHE48" s="223"/>
      <c r="HHF48" s="223"/>
      <c r="HHG48" s="224"/>
      <c r="HHH48" s="223"/>
      <c r="HHI48" s="223"/>
      <c r="HHJ48" s="223"/>
      <c r="HHK48" s="223"/>
      <c r="HHL48" s="225"/>
      <c r="HHM48" s="220"/>
      <c r="HHN48" s="221"/>
      <c r="HHO48" s="222"/>
      <c r="HHP48" s="222"/>
      <c r="HHQ48" s="223"/>
      <c r="HHR48" s="223"/>
      <c r="HHS48" s="224"/>
      <c r="HHT48" s="223"/>
      <c r="HHU48" s="223"/>
      <c r="HHV48" s="223"/>
      <c r="HHW48" s="223"/>
      <c r="HHX48" s="225"/>
      <c r="HHY48" s="220"/>
      <c r="HHZ48" s="221"/>
      <c r="HIA48" s="222"/>
      <c r="HIB48" s="222"/>
      <c r="HIC48" s="223"/>
      <c r="HID48" s="223"/>
      <c r="HIE48" s="224"/>
      <c r="HIF48" s="223"/>
      <c r="HIG48" s="223"/>
      <c r="HIH48" s="223"/>
      <c r="HII48" s="223"/>
      <c r="HIJ48" s="225"/>
      <c r="HIK48" s="220"/>
      <c r="HIL48" s="221"/>
      <c r="HIM48" s="222"/>
      <c r="HIN48" s="222"/>
      <c r="HIO48" s="223"/>
      <c r="HIP48" s="223"/>
      <c r="HIQ48" s="224"/>
      <c r="HIR48" s="223"/>
      <c r="HIS48" s="223"/>
      <c r="HIT48" s="223"/>
      <c r="HIU48" s="223"/>
      <c r="HIV48" s="225"/>
      <c r="HIW48" s="220"/>
      <c r="HIX48" s="221"/>
      <c r="HIY48" s="222"/>
      <c r="HIZ48" s="222"/>
      <c r="HJA48" s="223"/>
      <c r="HJB48" s="223"/>
      <c r="HJC48" s="224"/>
      <c r="HJD48" s="223"/>
      <c r="HJE48" s="223"/>
      <c r="HJF48" s="223"/>
      <c r="HJG48" s="223"/>
      <c r="HJH48" s="225"/>
      <c r="HJI48" s="220"/>
      <c r="HJJ48" s="221"/>
      <c r="HJK48" s="222"/>
      <c r="HJL48" s="222"/>
      <c r="HJM48" s="223"/>
      <c r="HJN48" s="223"/>
      <c r="HJO48" s="224"/>
      <c r="HJP48" s="223"/>
      <c r="HJQ48" s="223"/>
      <c r="HJR48" s="223"/>
      <c r="HJS48" s="223"/>
      <c r="HJT48" s="225"/>
      <c r="HJU48" s="220"/>
      <c r="HJV48" s="221"/>
      <c r="HJW48" s="222"/>
      <c r="HJX48" s="222"/>
      <c r="HJY48" s="223"/>
      <c r="HJZ48" s="223"/>
      <c r="HKA48" s="224"/>
      <c r="HKB48" s="223"/>
      <c r="HKC48" s="223"/>
      <c r="HKD48" s="223"/>
      <c r="HKE48" s="223"/>
      <c r="HKF48" s="225"/>
      <c r="HKG48" s="220"/>
      <c r="HKH48" s="221"/>
      <c r="HKI48" s="222"/>
      <c r="HKJ48" s="222"/>
      <c r="HKK48" s="223"/>
      <c r="HKL48" s="223"/>
      <c r="HKM48" s="224"/>
      <c r="HKN48" s="223"/>
      <c r="HKO48" s="223"/>
      <c r="HKP48" s="223"/>
      <c r="HKQ48" s="223"/>
      <c r="HKR48" s="225"/>
      <c r="HKS48" s="220"/>
      <c r="HKT48" s="221"/>
      <c r="HKU48" s="222"/>
      <c r="HKV48" s="222"/>
      <c r="HKW48" s="223"/>
      <c r="HKX48" s="223"/>
      <c r="HKY48" s="224"/>
      <c r="HKZ48" s="223"/>
      <c r="HLA48" s="223"/>
      <c r="HLB48" s="223"/>
      <c r="HLC48" s="223"/>
      <c r="HLD48" s="225"/>
      <c r="HLE48" s="220"/>
      <c r="HLF48" s="221"/>
      <c r="HLG48" s="222"/>
      <c r="HLH48" s="222"/>
      <c r="HLI48" s="223"/>
      <c r="HLJ48" s="223"/>
      <c r="HLK48" s="224"/>
      <c r="HLL48" s="223"/>
      <c r="HLM48" s="223"/>
      <c r="HLN48" s="223"/>
      <c r="HLO48" s="223"/>
      <c r="HLP48" s="225"/>
      <c r="HLQ48" s="220"/>
      <c r="HLR48" s="221"/>
      <c r="HLS48" s="222"/>
      <c r="HLT48" s="222"/>
      <c r="HLU48" s="223"/>
      <c r="HLV48" s="223"/>
      <c r="HLW48" s="224"/>
      <c r="HLX48" s="223"/>
      <c r="HLY48" s="223"/>
      <c r="HLZ48" s="223"/>
      <c r="HMA48" s="223"/>
      <c r="HMB48" s="225"/>
      <c r="HMC48" s="220"/>
      <c r="HMD48" s="221"/>
      <c r="HME48" s="222"/>
      <c r="HMF48" s="222"/>
      <c r="HMG48" s="223"/>
      <c r="HMH48" s="223"/>
      <c r="HMI48" s="224"/>
      <c r="HMJ48" s="223"/>
      <c r="HMK48" s="223"/>
      <c r="HML48" s="223"/>
      <c r="HMM48" s="223"/>
      <c r="HMN48" s="225"/>
      <c r="HMO48" s="220"/>
      <c r="HMP48" s="221"/>
      <c r="HMQ48" s="222"/>
      <c r="HMR48" s="222"/>
      <c r="HMS48" s="223"/>
      <c r="HMT48" s="223"/>
      <c r="HMU48" s="224"/>
      <c r="HMV48" s="223"/>
      <c r="HMW48" s="223"/>
      <c r="HMX48" s="223"/>
      <c r="HMY48" s="223"/>
      <c r="HMZ48" s="225"/>
      <c r="HNA48" s="220"/>
      <c r="HNB48" s="221"/>
      <c r="HNC48" s="222"/>
      <c r="HND48" s="222"/>
      <c r="HNE48" s="223"/>
      <c r="HNF48" s="223"/>
      <c r="HNG48" s="224"/>
      <c r="HNH48" s="223"/>
      <c r="HNI48" s="223"/>
      <c r="HNJ48" s="223"/>
      <c r="HNK48" s="223"/>
      <c r="HNL48" s="225"/>
      <c r="HNM48" s="220"/>
      <c r="HNN48" s="221"/>
      <c r="HNO48" s="222"/>
      <c r="HNP48" s="222"/>
      <c r="HNQ48" s="223"/>
      <c r="HNR48" s="223"/>
      <c r="HNS48" s="224"/>
      <c r="HNT48" s="223"/>
      <c r="HNU48" s="223"/>
      <c r="HNV48" s="223"/>
      <c r="HNW48" s="223"/>
      <c r="HNX48" s="225"/>
      <c r="HNY48" s="220"/>
      <c r="HNZ48" s="221"/>
      <c r="HOA48" s="222"/>
      <c r="HOB48" s="222"/>
      <c r="HOC48" s="223"/>
      <c r="HOD48" s="223"/>
      <c r="HOE48" s="224"/>
      <c r="HOF48" s="223"/>
      <c r="HOG48" s="223"/>
      <c r="HOH48" s="223"/>
      <c r="HOI48" s="223"/>
      <c r="HOJ48" s="225"/>
      <c r="HOK48" s="220"/>
      <c r="HOL48" s="221"/>
      <c r="HOM48" s="222"/>
      <c r="HON48" s="222"/>
      <c r="HOO48" s="223"/>
      <c r="HOP48" s="223"/>
      <c r="HOQ48" s="224"/>
      <c r="HOR48" s="223"/>
      <c r="HOS48" s="223"/>
      <c r="HOT48" s="223"/>
      <c r="HOU48" s="223"/>
      <c r="HOV48" s="225"/>
      <c r="HOW48" s="220"/>
      <c r="HOX48" s="221"/>
      <c r="HOY48" s="222"/>
      <c r="HOZ48" s="222"/>
      <c r="HPA48" s="223"/>
      <c r="HPB48" s="223"/>
      <c r="HPC48" s="224"/>
      <c r="HPD48" s="223"/>
      <c r="HPE48" s="223"/>
      <c r="HPF48" s="223"/>
      <c r="HPG48" s="223"/>
      <c r="HPH48" s="225"/>
      <c r="HPI48" s="220"/>
      <c r="HPJ48" s="221"/>
      <c r="HPK48" s="222"/>
      <c r="HPL48" s="222"/>
      <c r="HPM48" s="223"/>
      <c r="HPN48" s="223"/>
      <c r="HPO48" s="224"/>
      <c r="HPP48" s="223"/>
      <c r="HPQ48" s="223"/>
      <c r="HPR48" s="223"/>
      <c r="HPS48" s="223"/>
      <c r="HPT48" s="225"/>
      <c r="HPU48" s="220"/>
      <c r="HPV48" s="221"/>
      <c r="HPW48" s="222"/>
      <c r="HPX48" s="222"/>
      <c r="HPY48" s="223"/>
      <c r="HPZ48" s="223"/>
      <c r="HQA48" s="224"/>
      <c r="HQB48" s="223"/>
      <c r="HQC48" s="223"/>
      <c r="HQD48" s="223"/>
      <c r="HQE48" s="223"/>
      <c r="HQF48" s="225"/>
      <c r="HQG48" s="220"/>
      <c r="HQH48" s="221"/>
      <c r="HQI48" s="222"/>
      <c r="HQJ48" s="222"/>
      <c r="HQK48" s="223"/>
      <c r="HQL48" s="223"/>
      <c r="HQM48" s="224"/>
      <c r="HQN48" s="223"/>
      <c r="HQO48" s="223"/>
      <c r="HQP48" s="223"/>
      <c r="HQQ48" s="223"/>
      <c r="HQR48" s="225"/>
      <c r="HQS48" s="220"/>
      <c r="HQT48" s="221"/>
      <c r="HQU48" s="222"/>
      <c r="HQV48" s="222"/>
      <c r="HQW48" s="223"/>
      <c r="HQX48" s="223"/>
      <c r="HQY48" s="224"/>
      <c r="HQZ48" s="223"/>
      <c r="HRA48" s="223"/>
      <c r="HRB48" s="223"/>
      <c r="HRC48" s="223"/>
      <c r="HRD48" s="225"/>
      <c r="HRE48" s="220"/>
      <c r="HRF48" s="221"/>
      <c r="HRG48" s="222"/>
      <c r="HRH48" s="222"/>
      <c r="HRI48" s="223"/>
      <c r="HRJ48" s="223"/>
      <c r="HRK48" s="224"/>
      <c r="HRL48" s="223"/>
      <c r="HRM48" s="223"/>
      <c r="HRN48" s="223"/>
      <c r="HRO48" s="223"/>
      <c r="HRP48" s="225"/>
      <c r="HRQ48" s="220"/>
      <c r="HRR48" s="221"/>
      <c r="HRS48" s="222"/>
      <c r="HRT48" s="222"/>
      <c r="HRU48" s="223"/>
      <c r="HRV48" s="223"/>
      <c r="HRW48" s="224"/>
      <c r="HRX48" s="223"/>
      <c r="HRY48" s="223"/>
      <c r="HRZ48" s="223"/>
      <c r="HSA48" s="223"/>
      <c r="HSB48" s="225"/>
      <c r="HSC48" s="220"/>
      <c r="HSD48" s="221"/>
      <c r="HSE48" s="222"/>
      <c r="HSF48" s="222"/>
      <c r="HSG48" s="223"/>
      <c r="HSH48" s="223"/>
      <c r="HSI48" s="224"/>
      <c r="HSJ48" s="223"/>
      <c r="HSK48" s="223"/>
      <c r="HSL48" s="223"/>
      <c r="HSM48" s="223"/>
      <c r="HSN48" s="225"/>
      <c r="HSO48" s="220"/>
      <c r="HSP48" s="221"/>
      <c r="HSQ48" s="222"/>
      <c r="HSR48" s="222"/>
      <c r="HSS48" s="223"/>
      <c r="HST48" s="223"/>
      <c r="HSU48" s="224"/>
      <c r="HSV48" s="223"/>
      <c r="HSW48" s="223"/>
      <c r="HSX48" s="223"/>
      <c r="HSY48" s="223"/>
      <c r="HSZ48" s="225"/>
      <c r="HTA48" s="220"/>
      <c r="HTB48" s="221"/>
      <c r="HTC48" s="222"/>
      <c r="HTD48" s="222"/>
      <c r="HTE48" s="223"/>
      <c r="HTF48" s="223"/>
      <c r="HTG48" s="224"/>
      <c r="HTH48" s="223"/>
      <c r="HTI48" s="223"/>
      <c r="HTJ48" s="223"/>
      <c r="HTK48" s="223"/>
      <c r="HTL48" s="225"/>
      <c r="HTM48" s="220"/>
      <c r="HTN48" s="221"/>
      <c r="HTO48" s="222"/>
      <c r="HTP48" s="222"/>
      <c r="HTQ48" s="223"/>
      <c r="HTR48" s="223"/>
      <c r="HTS48" s="224"/>
      <c r="HTT48" s="223"/>
      <c r="HTU48" s="223"/>
      <c r="HTV48" s="223"/>
      <c r="HTW48" s="223"/>
      <c r="HTX48" s="225"/>
      <c r="HTY48" s="220"/>
      <c r="HTZ48" s="221"/>
      <c r="HUA48" s="222"/>
      <c r="HUB48" s="222"/>
      <c r="HUC48" s="223"/>
      <c r="HUD48" s="223"/>
      <c r="HUE48" s="224"/>
      <c r="HUF48" s="223"/>
      <c r="HUG48" s="223"/>
      <c r="HUH48" s="223"/>
      <c r="HUI48" s="223"/>
      <c r="HUJ48" s="225"/>
      <c r="HUK48" s="220"/>
      <c r="HUL48" s="221"/>
      <c r="HUM48" s="222"/>
      <c r="HUN48" s="222"/>
      <c r="HUO48" s="223"/>
      <c r="HUP48" s="223"/>
      <c r="HUQ48" s="224"/>
      <c r="HUR48" s="223"/>
      <c r="HUS48" s="223"/>
      <c r="HUT48" s="223"/>
      <c r="HUU48" s="223"/>
      <c r="HUV48" s="225"/>
      <c r="HUW48" s="220"/>
      <c r="HUX48" s="221"/>
      <c r="HUY48" s="222"/>
      <c r="HUZ48" s="222"/>
      <c r="HVA48" s="223"/>
      <c r="HVB48" s="223"/>
      <c r="HVC48" s="224"/>
      <c r="HVD48" s="223"/>
      <c r="HVE48" s="223"/>
      <c r="HVF48" s="223"/>
      <c r="HVG48" s="223"/>
      <c r="HVH48" s="225"/>
      <c r="HVI48" s="220"/>
      <c r="HVJ48" s="221"/>
      <c r="HVK48" s="222"/>
      <c r="HVL48" s="222"/>
      <c r="HVM48" s="223"/>
      <c r="HVN48" s="223"/>
      <c r="HVO48" s="224"/>
      <c r="HVP48" s="223"/>
      <c r="HVQ48" s="223"/>
      <c r="HVR48" s="223"/>
      <c r="HVS48" s="223"/>
      <c r="HVT48" s="225"/>
      <c r="HVU48" s="220"/>
      <c r="HVV48" s="221"/>
      <c r="HVW48" s="222"/>
      <c r="HVX48" s="222"/>
      <c r="HVY48" s="223"/>
      <c r="HVZ48" s="223"/>
      <c r="HWA48" s="224"/>
      <c r="HWB48" s="223"/>
      <c r="HWC48" s="223"/>
      <c r="HWD48" s="223"/>
      <c r="HWE48" s="223"/>
      <c r="HWF48" s="225"/>
      <c r="HWG48" s="220"/>
      <c r="HWH48" s="221"/>
      <c r="HWI48" s="222"/>
      <c r="HWJ48" s="222"/>
      <c r="HWK48" s="223"/>
      <c r="HWL48" s="223"/>
      <c r="HWM48" s="224"/>
      <c r="HWN48" s="223"/>
      <c r="HWO48" s="223"/>
      <c r="HWP48" s="223"/>
      <c r="HWQ48" s="223"/>
      <c r="HWR48" s="225"/>
      <c r="HWS48" s="220"/>
      <c r="HWT48" s="221"/>
      <c r="HWU48" s="222"/>
      <c r="HWV48" s="222"/>
      <c r="HWW48" s="223"/>
      <c r="HWX48" s="223"/>
      <c r="HWY48" s="224"/>
      <c r="HWZ48" s="223"/>
      <c r="HXA48" s="223"/>
      <c r="HXB48" s="223"/>
      <c r="HXC48" s="223"/>
      <c r="HXD48" s="225"/>
      <c r="HXE48" s="220"/>
      <c r="HXF48" s="221"/>
      <c r="HXG48" s="222"/>
      <c r="HXH48" s="222"/>
      <c r="HXI48" s="223"/>
      <c r="HXJ48" s="223"/>
      <c r="HXK48" s="224"/>
      <c r="HXL48" s="223"/>
      <c r="HXM48" s="223"/>
      <c r="HXN48" s="223"/>
      <c r="HXO48" s="223"/>
      <c r="HXP48" s="225"/>
      <c r="HXQ48" s="220"/>
      <c r="HXR48" s="221"/>
      <c r="HXS48" s="222"/>
      <c r="HXT48" s="222"/>
      <c r="HXU48" s="223"/>
      <c r="HXV48" s="223"/>
      <c r="HXW48" s="224"/>
      <c r="HXX48" s="223"/>
      <c r="HXY48" s="223"/>
      <c r="HXZ48" s="223"/>
      <c r="HYA48" s="223"/>
      <c r="HYB48" s="225"/>
      <c r="HYC48" s="220"/>
      <c r="HYD48" s="221"/>
      <c r="HYE48" s="222"/>
      <c r="HYF48" s="222"/>
      <c r="HYG48" s="223"/>
      <c r="HYH48" s="223"/>
      <c r="HYI48" s="224"/>
      <c r="HYJ48" s="223"/>
      <c r="HYK48" s="223"/>
      <c r="HYL48" s="223"/>
      <c r="HYM48" s="223"/>
      <c r="HYN48" s="225"/>
      <c r="HYO48" s="220"/>
      <c r="HYP48" s="221"/>
      <c r="HYQ48" s="222"/>
      <c r="HYR48" s="222"/>
      <c r="HYS48" s="223"/>
      <c r="HYT48" s="223"/>
      <c r="HYU48" s="224"/>
      <c r="HYV48" s="223"/>
      <c r="HYW48" s="223"/>
      <c r="HYX48" s="223"/>
      <c r="HYY48" s="223"/>
      <c r="HYZ48" s="225"/>
      <c r="HZA48" s="220"/>
      <c r="HZB48" s="221"/>
      <c r="HZC48" s="222"/>
      <c r="HZD48" s="222"/>
      <c r="HZE48" s="223"/>
      <c r="HZF48" s="223"/>
      <c r="HZG48" s="224"/>
      <c r="HZH48" s="223"/>
      <c r="HZI48" s="223"/>
      <c r="HZJ48" s="223"/>
      <c r="HZK48" s="223"/>
      <c r="HZL48" s="225"/>
      <c r="HZM48" s="220"/>
      <c r="HZN48" s="221"/>
      <c r="HZO48" s="222"/>
      <c r="HZP48" s="222"/>
      <c r="HZQ48" s="223"/>
      <c r="HZR48" s="223"/>
      <c r="HZS48" s="224"/>
      <c r="HZT48" s="223"/>
      <c r="HZU48" s="223"/>
      <c r="HZV48" s="223"/>
      <c r="HZW48" s="223"/>
      <c r="HZX48" s="225"/>
      <c r="HZY48" s="220"/>
      <c r="HZZ48" s="221"/>
      <c r="IAA48" s="222"/>
      <c r="IAB48" s="222"/>
      <c r="IAC48" s="223"/>
      <c r="IAD48" s="223"/>
      <c r="IAE48" s="224"/>
      <c r="IAF48" s="223"/>
      <c r="IAG48" s="223"/>
      <c r="IAH48" s="223"/>
      <c r="IAI48" s="223"/>
      <c r="IAJ48" s="225"/>
      <c r="IAK48" s="220"/>
      <c r="IAL48" s="221"/>
      <c r="IAM48" s="222"/>
      <c r="IAN48" s="222"/>
      <c r="IAO48" s="223"/>
      <c r="IAP48" s="223"/>
      <c r="IAQ48" s="224"/>
      <c r="IAR48" s="223"/>
      <c r="IAS48" s="223"/>
      <c r="IAT48" s="223"/>
      <c r="IAU48" s="223"/>
      <c r="IAV48" s="225"/>
      <c r="IAW48" s="220"/>
      <c r="IAX48" s="221"/>
      <c r="IAY48" s="222"/>
      <c r="IAZ48" s="222"/>
      <c r="IBA48" s="223"/>
      <c r="IBB48" s="223"/>
      <c r="IBC48" s="224"/>
      <c r="IBD48" s="223"/>
      <c r="IBE48" s="223"/>
      <c r="IBF48" s="223"/>
      <c r="IBG48" s="223"/>
      <c r="IBH48" s="225"/>
      <c r="IBI48" s="220"/>
      <c r="IBJ48" s="221"/>
      <c r="IBK48" s="222"/>
      <c r="IBL48" s="222"/>
      <c r="IBM48" s="223"/>
      <c r="IBN48" s="223"/>
      <c r="IBO48" s="224"/>
      <c r="IBP48" s="223"/>
      <c r="IBQ48" s="223"/>
      <c r="IBR48" s="223"/>
      <c r="IBS48" s="223"/>
      <c r="IBT48" s="225"/>
      <c r="IBU48" s="220"/>
      <c r="IBV48" s="221"/>
      <c r="IBW48" s="222"/>
      <c r="IBX48" s="222"/>
      <c r="IBY48" s="223"/>
      <c r="IBZ48" s="223"/>
      <c r="ICA48" s="224"/>
      <c r="ICB48" s="223"/>
      <c r="ICC48" s="223"/>
      <c r="ICD48" s="223"/>
      <c r="ICE48" s="223"/>
      <c r="ICF48" s="225"/>
      <c r="ICG48" s="220"/>
      <c r="ICH48" s="221"/>
      <c r="ICI48" s="222"/>
      <c r="ICJ48" s="222"/>
      <c r="ICK48" s="223"/>
      <c r="ICL48" s="223"/>
      <c r="ICM48" s="224"/>
      <c r="ICN48" s="223"/>
      <c r="ICO48" s="223"/>
      <c r="ICP48" s="223"/>
      <c r="ICQ48" s="223"/>
      <c r="ICR48" s="225"/>
      <c r="ICS48" s="220"/>
      <c r="ICT48" s="221"/>
      <c r="ICU48" s="222"/>
      <c r="ICV48" s="222"/>
      <c r="ICW48" s="223"/>
      <c r="ICX48" s="223"/>
      <c r="ICY48" s="224"/>
      <c r="ICZ48" s="223"/>
      <c r="IDA48" s="223"/>
      <c r="IDB48" s="223"/>
      <c r="IDC48" s="223"/>
      <c r="IDD48" s="225"/>
      <c r="IDE48" s="220"/>
      <c r="IDF48" s="221"/>
      <c r="IDG48" s="222"/>
      <c r="IDH48" s="222"/>
      <c r="IDI48" s="223"/>
      <c r="IDJ48" s="223"/>
      <c r="IDK48" s="224"/>
      <c r="IDL48" s="223"/>
      <c r="IDM48" s="223"/>
      <c r="IDN48" s="223"/>
      <c r="IDO48" s="223"/>
      <c r="IDP48" s="225"/>
      <c r="IDQ48" s="220"/>
      <c r="IDR48" s="221"/>
      <c r="IDS48" s="222"/>
      <c r="IDT48" s="222"/>
      <c r="IDU48" s="223"/>
      <c r="IDV48" s="223"/>
      <c r="IDW48" s="224"/>
      <c r="IDX48" s="223"/>
      <c r="IDY48" s="223"/>
      <c r="IDZ48" s="223"/>
      <c r="IEA48" s="223"/>
      <c r="IEB48" s="225"/>
      <c r="IEC48" s="220"/>
      <c r="IED48" s="221"/>
      <c r="IEE48" s="222"/>
      <c r="IEF48" s="222"/>
      <c r="IEG48" s="223"/>
      <c r="IEH48" s="223"/>
      <c r="IEI48" s="224"/>
      <c r="IEJ48" s="223"/>
      <c r="IEK48" s="223"/>
      <c r="IEL48" s="223"/>
      <c r="IEM48" s="223"/>
      <c r="IEN48" s="225"/>
      <c r="IEO48" s="220"/>
      <c r="IEP48" s="221"/>
      <c r="IEQ48" s="222"/>
      <c r="IER48" s="222"/>
      <c r="IES48" s="223"/>
      <c r="IET48" s="223"/>
      <c r="IEU48" s="224"/>
      <c r="IEV48" s="223"/>
      <c r="IEW48" s="223"/>
      <c r="IEX48" s="223"/>
      <c r="IEY48" s="223"/>
      <c r="IEZ48" s="225"/>
      <c r="IFA48" s="220"/>
      <c r="IFB48" s="221"/>
      <c r="IFC48" s="222"/>
      <c r="IFD48" s="222"/>
      <c r="IFE48" s="223"/>
      <c r="IFF48" s="223"/>
      <c r="IFG48" s="224"/>
      <c r="IFH48" s="223"/>
      <c r="IFI48" s="223"/>
      <c r="IFJ48" s="223"/>
      <c r="IFK48" s="223"/>
      <c r="IFL48" s="225"/>
      <c r="IFM48" s="220"/>
      <c r="IFN48" s="221"/>
      <c r="IFO48" s="222"/>
      <c r="IFP48" s="222"/>
      <c r="IFQ48" s="223"/>
      <c r="IFR48" s="223"/>
      <c r="IFS48" s="224"/>
      <c r="IFT48" s="223"/>
      <c r="IFU48" s="223"/>
      <c r="IFV48" s="223"/>
      <c r="IFW48" s="223"/>
      <c r="IFX48" s="225"/>
      <c r="IFY48" s="220"/>
      <c r="IFZ48" s="221"/>
      <c r="IGA48" s="222"/>
      <c r="IGB48" s="222"/>
      <c r="IGC48" s="223"/>
      <c r="IGD48" s="223"/>
      <c r="IGE48" s="224"/>
      <c r="IGF48" s="223"/>
      <c r="IGG48" s="223"/>
      <c r="IGH48" s="223"/>
      <c r="IGI48" s="223"/>
      <c r="IGJ48" s="225"/>
      <c r="IGK48" s="220"/>
      <c r="IGL48" s="221"/>
      <c r="IGM48" s="222"/>
      <c r="IGN48" s="222"/>
      <c r="IGO48" s="223"/>
      <c r="IGP48" s="223"/>
      <c r="IGQ48" s="224"/>
      <c r="IGR48" s="223"/>
      <c r="IGS48" s="223"/>
      <c r="IGT48" s="223"/>
      <c r="IGU48" s="223"/>
      <c r="IGV48" s="225"/>
      <c r="IGW48" s="220"/>
      <c r="IGX48" s="221"/>
      <c r="IGY48" s="222"/>
      <c r="IGZ48" s="222"/>
      <c r="IHA48" s="223"/>
      <c r="IHB48" s="223"/>
      <c r="IHC48" s="224"/>
      <c r="IHD48" s="223"/>
      <c r="IHE48" s="223"/>
      <c r="IHF48" s="223"/>
      <c r="IHG48" s="223"/>
      <c r="IHH48" s="225"/>
      <c r="IHI48" s="220"/>
      <c r="IHJ48" s="221"/>
      <c r="IHK48" s="222"/>
      <c r="IHL48" s="222"/>
      <c r="IHM48" s="223"/>
      <c r="IHN48" s="223"/>
      <c r="IHO48" s="224"/>
      <c r="IHP48" s="223"/>
      <c r="IHQ48" s="223"/>
      <c r="IHR48" s="223"/>
      <c r="IHS48" s="223"/>
      <c r="IHT48" s="225"/>
      <c r="IHU48" s="220"/>
      <c r="IHV48" s="221"/>
      <c r="IHW48" s="222"/>
      <c r="IHX48" s="222"/>
      <c r="IHY48" s="223"/>
      <c r="IHZ48" s="223"/>
      <c r="IIA48" s="224"/>
      <c r="IIB48" s="223"/>
      <c r="IIC48" s="223"/>
      <c r="IID48" s="223"/>
      <c r="IIE48" s="223"/>
      <c r="IIF48" s="225"/>
      <c r="IIG48" s="220"/>
      <c r="IIH48" s="221"/>
      <c r="III48" s="222"/>
      <c r="IIJ48" s="222"/>
      <c r="IIK48" s="223"/>
      <c r="IIL48" s="223"/>
      <c r="IIM48" s="224"/>
      <c r="IIN48" s="223"/>
      <c r="IIO48" s="223"/>
      <c r="IIP48" s="223"/>
      <c r="IIQ48" s="223"/>
      <c r="IIR48" s="225"/>
      <c r="IIS48" s="220"/>
      <c r="IIT48" s="221"/>
      <c r="IIU48" s="222"/>
      <c r="IIV48" s="222"/>
      <c r="IIW48" s="223"/>
      <c r="IIX48" s="223"/>
      <c r="IIY48" s="224"/>
      <c r="IIZ48" s="223"/>
      <c r="IJA48" s="223"/>
      <c r="IJB48" s="223"/>
      <c r="IJC48" s="223"/>
      <c r="IJD48" s="225"/>
      <c r="IJE48" s="220"/>
      <c r="IJF48" s="221"/>
      <c r="IJG48" s="222"/>
      <c r="IJH48" s="222"/>
      <c r="IJI48" s="223"/>
      <c r="IJJ48" s="223"/>
      <c r="IJK48" s="224"/>
      <c r="IJL48" s="223"/>
      <c r="IJM48" s="223"/>
      <c r="IJN48" s="223"/>
      <c r="IJO48" s="223"/>
      <c r="IJP48" s="225"/>
      <c r="IJQ48" s="220"/>
      <c r="IJR48" s="221"/>
      <c r="IJS48" s="222"/>
      <c r="IJT48" s="222"/>
      <c r="IJU48" s="223"/>
      <c r="IJV48" s="223"/>
      <c r="IJW48" s="224"/>
      <c r="IJX48" s="223"/>
      <c r="IJY48" s="223"/>
      <c r="IJZ48" s="223"/>
      <c r="IKA48" s="223"/>
      <c r="IKB48" s="225"/>
      <c r="IKC48" s="220"/>
      <c r="IKD48" s="221"/>
      <c r="IKE48" s="222"/>
      <c r="IKF48" s="222"/>
      <c r="IKG48" s="223"/>
      <c r="IKH48" s="223"/>
      <c r="IKI48" s="224"/>
      <c r="IKJ48" s="223"/>
      <c r="IKK48" s="223"/>
      <c r="IKL48" s="223"/>
      <c r="IKM48" s="223"/>
      <c r="IKN48" s="225"/>
      <c r="IKO48" s="220"/>
      <c r="IKP48" s="221"/>
      <c r="IKQ48" s="222"/>
      <c r="IKR48" s="222"/>
      <c r="IKS48" s="223"/>
      <c r="IKT48" s="223"/>
      <c r="IKU48" s="224"/>
      <c r="IKV48" s="223"/>
      <c r="IKW48" s="223"/>
      <c r="IKX48" s="223"/>
      <c r="IKY48" s="223"/>
      <c r="IKZ48" s="225"/>
      <c r="ILA48" s="220"/>
      <c r="ILB48" s="221"/>
      <c r="ILC48" s="222"/>
      <c r="ILD48" s="222"/>
      <c r="ILE48" s="223"/>
      <c r="ILF48" s="223"/>
      <c r="ILG48" s="224"/>
      <c r="ILH48" s="223"/>
      <c r="ILI48" s="223"/>
      <c r="ILJ48" s="223"/>
      <c r="ILK48" s="223"/>
      <c r="ILL48" s="225"/>
      <c r="ILM48" s="220"/>
      <c r="ILN48" s="221"/>
      <c r="ILO48" s="222"/>
      <c r="ILP48" s="222"/>
      <c r="ILQ48" s="223"/>
      <c r="ILR48" s="223"/>
      <c r="ILS48" s="224"/>
      <c r="ILT48" s="223"/>
      <c r="ILU48" s="223"/>
      <c r="ILV48" s="223"/>
      <c r="ILW48" s="223"/>
      <c r="ILX48" s="225"/>
      <c r="ILY48" s="220"/>
      <c r="ILZ48" s="221"/>
      <c r="IMA48" s="222"/>
      <c r="IMB48" s="222"/>
      <c r="IMC48" s="223"/>
      <c r="IMD48" s="223"/>
      <c r="IME48" s="224"/>
      <c r="IMF48" s="223"/>
      <c r="IMG48" s="223"/>
      <c r="IMH48" s="223"/>
      <c r="IMI48" s="223"/>
      <c r="IMJ48" s="225"/>
      <c r="IMK48" s="220"/>
      <c r="IML48" s="221"/>
      <c r="IMM48" s="222"/>
      <c r="IMN48" s="222"/>
      <c r="IMO48" s="223"/>
      <c r="IMP48" s="223"/>
      <c r="IMQ48" s="224"/>
      <c r="IMR48" s="223"/>
      <c r="IMS48" s="223"/>
      <c r="IMT48" s="223"/>
      <c r="IMU48" s="223"/>
      <c r="IMV48" s="225"/>
      <c r="IMW48" s="220"/>
      <c r="IMX48" s="221"/>
      <c r="IMY48" s="222"/>
      <c r="IMZ48" s="222"/>
      <c r="INA48" s="223"/>
      <c r="INB48" s="223"/>
      <c r="INC48" s="224"/>
      <c r="IND48" s="223"/>
      <c r="INE48" s="223"/>
      <c r="INF48" s="223"/>
      <c r="ING48" s="223"/>
      <c r="INH48" s="225"/>
      <c r="INI48" s="220"/>
      <c r="INJ48" s="221"/>
      <c r="INK48" s="222"/>
      <c r="INL48" s="222"/>
      <c r="INM48" s="223"/>
      <c r="INN48" s="223"/>
      <c r="INO48" s="224"/>
      <c r="INP48" s="223"/>
      <c r="INQ48" s="223"/>
      <c r="INR48" s="223"/>
      <c r="INS48" s="223"/>
      <c r="INT48" s="225"/>
      <c r="INU48" s="220"/>
      <c r="INV48" s="221"/>
      <c r="INW48" s="222"/>
      <c r="INX48" s="222"/>
      <c r="INY48" s="223"/>
      <c r="INZ48" s="223"/>
      <c r="IOA48" s="224"/>
      <c r="IOB48" s="223"/>
      <c r="IOC48" s="223"/>
      <c r="IOD48" s="223"/>
      <c r="IOE48" s="223"/>
      <c r="IOF48" s="225"/>
      <c r="IOG48" s="220"/>
      <c r="IOH48" s="221"/>
      <c r="IOI48" s="222"/>
      <c r="IOJ48" s="222"/>
      <c r="IOK48" s="223"/>
      <c r="IOL48" s="223"/>
      <c r="IOM48" s="224"/>
      <c r="ION48" s="223"/>
      <c r="IOO48" s="223"/>
      <c r="IOP48" s="223"/>
      <c r="IOQ48" s="223"/>
      <c r="IOR48" s="225"/>
      <c r="IOS48" s="220"/>
      <c r="IOT48" s="221"/>
      <c r="IOU48" s="222"/>
      <c r="IOV48" s="222"/>
      <c r="IOW48" s="223"/>
      <c r="IOX48" s="223"/>
      <c r="IOY48" s="224"/>
      <c r="IOZ48" s="223"/>
      <c r="IPA48" s="223"/>
      <c r="IPB48" s="223"/>
      <c r="IPC48" s="223"/>
      <c r="IPD48" s="225"/>
      <c r="IPE48" s="220"/>
      <c r="IPF48" s="221"/>
      <c r="IPG48" s="222"/>
      <c r="IPH48" s="222"/>
      <c r="IPI48" s="223"/>
      <c r="IPJ48" s="223"/>
      <c r="IPK48" s="224"/>
      <c r="IPL48" s="223"/>
      <c r="IPM48" s="223"/>
      <c r="IPN48" s="223"/>
      <c r="IPO48" s="223"/>
      <c r="IPP48" s="225"/>
      <c r="IPQ48" s="220"/>
      <c r="IPR48" s="221"/>
      <c r="IPS48" s="222"/>
      <c r="IPT48" s="222"/>
      <c r="IPU48" s="223"/>
      <c r="IPV48" s="223"/>
      <c r="IPW48" s="224"/>
      <c r="IPX48" s="223"/>
      <c r="IPY48" s="223"/>
      <c r="IPZ48" s="223"/>
      <c r="IQA48" s="223"/>
      <c r="IQB48" s="225"/>
      <c r="IQC48" s="220"/>
      <c r="IQD48" s="221"/>
      <c r="IQE48" s="222"/>
      <c r="IQF48" s="222"/>
      <c r="IQG48" s="223"/>
      <c r="IQH48" s="223"/>
      <c r="IQI48" s="224"/>
      <c r="IQJ48" s="223"/>
      <c r="IQK48" s="223"/>
      <c r="IQL48" s="223"/>
      <c r="IQM48" s="223"/>
      <c r="IQN48" s="225"/>
      <c r="IQO48" s="220"/>
      <c r="IQP48" s="221"/>
      <c r="IQQ48" s="222"/>
      <c r="IQR48" s="222"/>
      <c r="IQS48" s="223"/>
      <c r="IQT48" s="223"/>
      <c r="IQU48" s="224"/>
      <c r="IQV48" s="223"/>
      <c r="IQW48" s="223"/>
      <c r="IQX48" s="223"/>
      <c r="IQY48" s="223"/>
      <c r="IQZ48" s="225"/>
      <c r="IRA48" s="220"/>
      <c r="IRB48" s="221"/>
      <c r="IRC48" s="222"/>
      <c r="IRD48" s="222"/>
      <c r="IRE48" s="223"/>
      <c r="IRF48" s="223"/>
      <c r="IRG48" s="224"/>
      <c r="IRH48" s="223"/>
      <c r="IRI48" s="223"/>
      <c r="IRJ48" s="223"/>
      <c r="IRK48" s="223"/>
      <c r="IRL48" s="225"/>
      <c r="IRM48" s="220"/>
      <c r="IRN48" s="221"/>
      <c r="IRO48" s="222"/>
      <c r="IRP48" s="222"/>
      <c r="IRQ48" s="223"/>
      <c r="IRR48" s="223"/>
      <c r="IRS48" s="224"/>
      <c r="IRT48" s="223"/>
      <c r="IRU48" s="223"/>
      <c r="IRV48" s="223"/>
      <c r="IRW48" s="223"/>
      <c r="IRX48" s="225"/>
      <c r="IRY48" s="220"/>
      <c r="IRZ48" s="221"/>
      <c r="ISA48" s="222"/>
      <c r="ISB48" s="222"/>
      <c r="ISC48" s="223"/>
      <c r="ISD48" s="223"/>
      <c r="ISE48" s="224"/>
      <c r="ISF48" s="223"/>
      <c r="ISG48" s="223"/>
      <c r="ISH48" s="223"/>
      <c r="ISI48" s="223"/>
      <c r="ISJ48" s="225"/>
      <c r="ISK48" s="220"/>
      <c r="ISL48" s="221"/>
      <c r="ISM48" s="222"/>
      <c r="ISN48" s="222"/>
      <c r="ISO48" s="223"/>
      <c r="ISP48" s="223"/>
      <c r="ISQ48" s="224"/>
      <c r="ISR48" s="223"/>
      <c r="ISS48" s="223"/>
      <c r="IST48" s="223"/>
      <c r="ISU48" s="223"/>
      <c r="ISV48" s="225"/>
      <c r="ISW48" s="220"/>
      <c r="ISX48" s="221"/>
      <c r="ISY48" s="222"/>
      <c r="ISZ48" s="222"/>
      <c r="ITA48" s="223"/>
      <c r="ITB48" s="223"/>
      <c r="ITC48" s="224"/>
      <c r="ITD48" s="223"/>
      <c r="ITE48" s="223"/>
      <c r="ITF48" s="223"/>
      <c r="ITG48" s="223"/>
      <c r="ITH48" s="225"/>
      <c r="ITI48" s="220"/>
      <c r="ITJ48" s="221"/>
      <c r="ITK48" s="222"/>
      <c r="ITL48" s="222"/>
      <c r="ITM48" s="223"/>
      <c r="ITN48" s="223"/>
      <c r="ITO48" s="224"/>
      <c r="ITP48" s="223"/>
      <c r="ITQ48" s="223"/>
      <c r="ITR48" s="223"/>
      <c r="ITS48" s="223"/>
      <c r="ITT48" s="225"/>
      <c r="ITU48" s="220"/>
      <c r="ITV48" s="221"/>
      <c r="ITW48" s="222"/>
      <c r="ITX48" s="222"/>
      <c r="ITY48" s="223"/>
      <c r="ITZ48" s="223"/>
      <c r="IUA48" s="224"/>
      <c r="IUB48" s="223"/>
      <c r="IUC48" s="223"/>
      <c r="IUD48" s="223"/>
      <c r="IUE48" s="223"/>
      <c r="IUF48" s="225"/>
      <c r="IUG48" s="220"/>
      <c r="IUH48" s="221"/>
      <c r="IUI48" s="222"/>
      <c r="IUJ48" s="222"/>
      <c r="IUK48" s="223"/>
      <c r="IUL48" s="223"/>
      <c r="IUM48" s="224"/>
      <c r="IUN48" s="223"/>
      <c r="IUO48" s="223"/>
      <c r="IUP48" s="223"/>
      <c r="IUQ48" s="223"/>
      <c r="IUR48" s="225"/>
      <c r="IUS48" s="220"/>
      <c r="IUT48" s="221"/>
      <c r="IUU48" s="222"/>
      <c r="IUV48" s="222"/>
      <c r="IUW48" s="223"/>
      <c r="IUX48" s="223"/>
      <c r="IUY48" s="224"/>
      <c r="IUZ48" s="223"/>
      <c r="IVA48" s="223"/>
      <c r="IVB48" s="223"/>
      <c r="IVC48" s="223"/>
      <c r="IVD48" s="225"/>
      <c r="IVE48" s="220"/>
      <c r="IVF48" s="221"/>
      <c r="IVG48" s="222"/>
      <c r="IVH48" s="222"/>
      <c r="IVI48" s="223"/>
      <c r="IVJ48" s="223"/>
      <c r="IVK48" s="224"/>
      <c r="IVL48" s="223"/>
      <c r="IVM48" s="223"/>
      <c r="IVN48" s="223"/>
      <c r="IVO48" s="223"/>
      <c r="IVP48" s="225"/>
      <c r="IVQ48" s="220"/>
      <c r="IVR48" s="221"/>
      <c r="IVS48" s="222"/>
      <c r="IVT48" s="222"/>
      <c r="IVU48" s="223"/>
      <c r="IVV48" s="223"/>
      <c r="IVW48" s="224"/>
      <c r="IVX48" s="223"/>
      <c r="IVY48" s="223"/>
      <c r="IVZ48" s="223"/>
      <c r="IWA48" s="223"/>
      <c r="IWB48" s="225"/>
      <c r="IWC48" s="220"/>
      <c r="IWD48" s="221"/>
      <c r="IWE48" s="222"/>
      <c r="IWF48" s="222"/>
      <c r="IWG48" s="223"/>
      <c r="IWH48" s="223"/>
      <c r="IWI48" s="224"/>
      <c r="IWJ48" s="223"/>
      <c r="IWK48" s="223"/>
      <c r="IWL48" s="223"/>
      <c r="IWM48" s="223"/>
      <c r="IWN48" s="225"/>
      <c r="IWO48" s="220"/>
      <c r="IWP48" s="221"/>
      <c r="IWQ48" s="222"/>
      <c r="IWR48" s="222"/>
      <c r="IWS48" s="223"/>
      <c r="IWT48" s="223"/>
      <c r="IWU48" s="224"/>
      <c r="IWV48" s="223"/>
      <c r="IWW48" s="223"/>
      <c r="IWX48" s="223"/>
      <c r="IWY48" s="223"/>
      <c r="IWZ48" s="225"/>
      <c r="IXA48" s="220"/>
      <c r="IXB48" s="221"/>
      <c r="IXC48" s="222"/>
      <c r="IXD48" s="222"/>
      <c r="IXE48" s="223"/>
      <c r="IXF48" s="223"/>
      <c r="IXG48" s="224"/>
      <c r="IXH48" s="223"/>
      <c r="IXI48" s="223"/>
      <c r="IXJ48" s="223"/>
      <c r="IXK48" s="223"/>
      <c r="IXL48" s="225"/>
      <c r="IXM48" s="220"/>
      <c r="IXN48" s="221"/>
      <c r="IXO48" s="222"/>
      <c r="IXP48" s="222"/>
      <c r="IXQ48" s="223"/>
      <c r="IXR48" s="223"/>
      <c r="IXS48" s="224"/>
      <c r="IXT48" s="223"/>
      <c r="IXU48" s="223"/>
      <c r="IXV48" s="223"/>
      <c r="IXW48" s="223"/>
      <c r="IXX48" s="225"/>
      <c r="IXY48" s="220"/>
      <c r="IXZ48" s="221"/>
      <c r="IYA48" s="222"/>
      <c r="IYB48" s="222"/>
      <c r="IYC48" s="223"/>
      <c r="IYD48" s="223"/>
      <c r="IYE48" s="224"/>
      <c r="IYF48" s="223"/>
      <c r="IYG48" s="223"/>
      <c r="IYH48" s="223"/>
      <c r="IYI48" s="223"/>
      <c r="IYJ48" s="225"/>
      <c r="IYK48" s="220"/>
      <c r="IYL48" s="221"/>
      <c r="IYM48" s="222"/>
      <c r="IYN48" s="222"/>
      <c r="IYO48" s="223"/>
      <c r="IYP48" s="223"/>
      <c r="IYQ48" s="224"/>
      <c r="IYR48" s="223"/>
      <c r="IYS48" s="223"/>
      <c r="IYT48" s="223"/>
      <c r="IYU48" s="223"/>
      <c r="IYV48" s="225"/>
      <c r="IYW48" s="220"/>
      <c r="IYX48" s="221"/>
      <c r="IYY48" s="222"/>
      <c r="IYZ48" s="222"/>
      <c r="IZA48" s="223"/>
      <c r="IZB48" s="223"/>
      <c r="IZC48" s="224"/>
      <c r="IZD48" s="223"/>
      <c r="IZE48" s="223"/>
      <c r="IZF48" s="223"/>
      <c r="IZG48" s="223"/>
      <c r="IZH48" s="225"/>
      <c r="IZI48" s="220"/>
      <c r="IZJ48" s="221"/>
      <c r="IZK48" s="222"/>
      <c r="IZL48" s="222"/>
      <c r="IZM48" s="223"/>
      <c r="IZN48" s="223"/>
      <c r="IZO48" s="224"/>
      <c r="IZP48" s="223"/>
      <c r="IZQ48" s="223"/>
      <c r="IZR48" s="223"/>
      <c r="IZS48" s="223"/>
      <c r="IZT48" s="225"/>
      <c r="IZU48" s="220"/>
      <c r="IZV48" s="221"/>
      <c r="IZW48" s="222"/>
      <c r="IZX48" s="222"/>
      <c r="IZY48" s="223"/>
      <c r="IZZ48" s="223"/>
      <c r="JAA48" s="224"/>
      <c r="JAB48" s="223"/>
      <c r="JAC48" s="223"/>
      <c r="JAD48" s="223"/>
      <c r="JAE48" s="223"/>
      <c r="JAF48" s="225"/>
      <c r="JAG48" s="220"/>
      <c r="JAH48" s="221"/>
      <c r="JAI48" s="222"/>
      <c r="JAJ48" s="222"/>
      <c r="JAK48" s="223"/>
      <c r="JAL48" s="223"/>
      <c r="JAM48" s="224"/>
      <c r="JAN48" s="223"/>
      <c r="JAO48" s="223"/>
      <c r="JAP48" s="223"/>
      <c r="JAQ48" s="223"/>
      <c r="JAR48" s="225"/>
      <c r="JAS48" s="220"/>
      <c r="JAT48" s="221"/>
      <c r="JAU48" s="222"/>
      <c r="JAV48" s="222"/>
      <c r="JAW48" s="223"/>
      <c r="JAX48" s="223"/>
      <c r="JAY48" s="224"/>
      <c r="JAZ48" s="223"/>
      <c r="JBA48" s="223"/>
      <c r="JBB48" s="223"/>
      <c r="JBC48" s="223"/>
      <c r="JBD48" s="225"/>
      <c r="JBE48" s="220"/>
      <c r="JBF48" s="221"/>
      <c r="JBG48" s="222"/>
      <c r="JBH48" s="222"/>
      <c r="JBI48" s="223"/>
      <c r="JBJ48" s="223"/>
      <c r="JBK48" s="224"/>
      <c r="JBL48" s="223"/>
      <c r="JBM48" s="223"/>
      <c r="JBN48" s="223"/>
      <c r="JBO48" s="223"/>
      <c r="JBP48" s="225"/>
      <c r="JBQ48" s="220"/>
      <c r="JBR48" s="221"/>
      <c r="JBS48" s="222"/>
      <c r="JBT48" s="222"/>
      <c r="JBU48" s="223"/>
      <c r="JBV48" s="223"/>
      <c r="JBW48" s="224"/>
      <c r="JBX48" s="223"/>
      <c r="JBY48" s="223"/>
      <c r="JBZ48" s="223"/>
      <c r="JCA48" s="223"/>
      <c r="JCB48" s="225"/>
      <c r="JCC48" s="220"/>
      <c r="JCD48" s="221"/>
      <c r="JCE48" s="222"/>
      <c r="JCF48" s="222"/>
      <c r="JCG48" s="223"/>
      <c r="JCH48" s="223"/>
      <c r="JCI48" s="224"/>
      <c r="JCJ48" s="223"/>
      <c r="JCK48" s="223"/>
      <c r="JCL48" s="223"/>
      <c r="JCM48" s="223"/>
      <c r="JCN48" s="225"/>
      <c r="JCO48" s="220"/>
      <c r="JCP48" s="221"/>
      <c r="JCQ48" s="222"/>
      <c r="JCR48" s="222"/>
      <c r="JCS48" s="223"/>
      <c r="JCT48" s="223"/>
      <c r="JCU48" s="224"/>
      <c r="JCV48" s="223"/>
      <c r="JCW48" s="223"/>
      <c r="JCX48" s="223"/>
      <c r="JCY48" s="223"/>
      <c r="JCZ48" s="225"/>
      <c r="JDA48" s="220"/>
      <c r="JDB48" s="221"/>
      <c r="JDC48" s="222"/>
      <c r="JDD48" s="222"/>
      <c r="JDE48" s="223"/>
      <c r="JDF48" s="223"/>
      <c r="JDG48" s="224"/>
      <c r="JDH48" s="223"/>
      <c r="JDI48" s="223"/>
      <c r="JDJ48" s="223"/>
      <c r="JDK48" s="223"/>
      <c r="JDL48" s="225"/>
      <c r="JDM48" s="220"/>
      <c r="JDN48" s="221"/>
      <c r="JDO48" s="222"/>
      <c r="JDP48" s="222"/>
      <c r="JDQ48" s="223"/>
      <c r="JDR48" s="223"/>
      <c r="JDS48" s="224"/>
      <c r="JDT48" s="223"/>
      <c r="JDU48" s="223"/>
      <c r="JDV48" s="223"/>
      <c r="JDW48" s="223"/>
      <c r="JDX48" s="225"/>
      <c r="JDY48" s="220"/>
      <c r="JDZ48" s="221"/>
      <c r="JEA48" s="222"/>
      <c r="JEB48" s="222"/>
      <c r="JEC48" s="223"/>
      <c r="JED48" s="223"/>
      <c r="JEE48" s="224"/>
      <c r="JEF48" s="223"/>
      <c r="JEG48" s="223"/>
      <c r="JEH48" s="223"/>
      <c r="JEI48" s="223"/>
      <c r="JEJ48" s="225"/>
      <c r="JEK48" s="220"/>
      <c r="JEL48" s="221"/>
      <c r="JEM48" s="222"/>
      <c r="JEN48" s="222"/>
      <c r="JEO48" s="223"/>
      <c r="JEP48" s="223"/>
      <c r="JEQ48" s="224"/>
      <c r="JER48" s="223"/>
      <c r="JES48" s="223"/>
      <c r="JET48" s="223"/>
      <c r="JEU48" s="223"/>
      <c r="JEV48" s="225"/>
      <c r="JEW48" s="220"/>
      <c r="JEX48" s="221"/>
      <c r="JEY48" s="222"/>
      <c r="JEZ48" s="222"/>
      <c r="JFA48" s="223"/>
      <c r="JFB48" s="223"/>
      <c r="JFC48" s="224"/>
      <c r="JFD48" s="223"/>
      <c r="JFE48" s="223"/>
      <c r="JFF48" s="223"/>
      <c r="JFG48" s="223"/>
      <c r="JFH48" s="225"/>
      <c r="JFI48" s="220"/>
      <c r="JFJ48" s="221"/>
      <c r="JFK48" s="222"/>
      <c r="JFL48" s="222"/>
      <c r="JFM48" s="223"/>
      <c r="JFN48" s="223"/>
      <c r="JFO48" s="224"/>
      <c r="JFP48" s="223"/>
      <c r="JFQ48" s="223"/>
      <c r="JFR48" s="223"/>
      <c r="JFS48" s="223"/>
      <c r="JFT48" s="225"/>
      <c r="JFU48" s="220"/>
      <c r="JFV48" s="221"/>
      <c r="JFW48" s="222"/>
      <c r="JFX48" s="222"/>
      <c r="JFY48" s="223"/>
      <c r="JFZ48" s="223"/>
      <c r="JGA48" s="224"/>
      <c r="JGB48" s="223"/>
      <c r="JGC48" s="223"/>
      <c r="JGD48" s="223"/>
      <c r="JGE48" s="223"/>
      <c r="JGF48" s="225"/>
      <c r="JGG48" s="220"/>
      <c r="JGH48" s="221"/>
      <c r="JGI48" s="222"/>
      <c r="JGJ48" s="222"/>
      <c r="JGK48" s="223"/>
      <c r="JGL48" s="223"/>
      <c r="JGM48" s="224"/>
      <c r="JGN48" s="223"/>
      <c r="JGO48" s="223"/>
      <c r="JGP48" s="223"/>
      <c r="JGQ48" s="223"/>
      <c r="JGR48" s="225"/>
      <c r="JGS48" s="220"/>
      <c r="JGT48" s="221"/>
      <c r="JGU48" s="222"/>
      <c r="JGV48" s="222"/>
      <c r="JGW48" s="223"/>
      <c r="JGX48" s="223"/>
      <c r="JGY48" s="224"/>
      <c r="JGZ48" s="223"/>
      <c r="JHA48" s="223"/>
      <c r="JHB48" s="223"/>
      <c r="JHC48" s="223"/>
      <c r="JHD48" s="225"/>
      <c r="JHE48" s="220"/>
      <c r="JHF48" s="221"/>
      <c r="JHG48" s="222"/>
      <c r="JHH48" s="222"/>
      <c r="JHI48" s="223"/>
      <c r="JHJ48" s="223"/>
      <c r="JHK48" s="224"/>
      <c r="JHL48" s="223"/>
      <c r="JHM48" s="223"/>
      <c r="JHN48" s="223"/>
      <c r="JHO48" s="223"/>
      <c r="JHP48" s="225"/>
      <c r="JHQ48" s="220"/>
      <c r="JHR48" s="221"/>
      <c r="JHS48" s="222"/>
      <c r="JHT48" s="222"/>
      <c r="JHU48" s="223"/>
      <c r="JHV48" s="223"/>
      <c r="JHW48" s="224"/>
      <c r="JHX48" s="223"/>
      <c r="JHY48" s="223"/>
      <c r="JHZ48" s="223"/>
      <c r="JIA48" s="223"/>
      <c r="JIB48" s="225"/>
      <c r="JIC48" s="220"/>
      <c r="JID48" s="221"/>
      <c r="JIE48" s="222"/>
      <c r="JIF48" s="222"/>
      <c r="JIG48" s="223"/>
      <c r="JIH48" s="223"/>
      <c r="JII48" s="224"/>
      <c r="JIJ48" s="223"/>
      <c r="JIK48" s="223"/>
      <c r="JIL48" s="223"/>
      <c r="JIM48" s="223"/>
      <c r="JIN48" s="225"/>
      <c r="JIO48" s="220"/>
      <c r="JIP48" s="221"/>
      <c r="JIQ48" s="222"/>
      <c r="JIR48" s="222"/>
      <c r="JIS48" s="223"/>
      <c r="JIT48" s="223"/>
      <c r="JIU48" s="224"/>
      <c r="JIV48" s="223"/>
      <c r="JIW48" s="223"/>
      <c r="JIX48" s="223"/>
      <c r="JIY48" s="223"/>
      <c r="JIZ48" s="225"/>
      <c r="JJA48" s="220"/>
      <c r="JJB48" s="221"/>
      <c r="JJC48" s="222"/>
      <c r="JJD48" s="222"/>
      <c r="JJE48" s="223"/>
      <c r="JJF48" s="223"/>
      <c r="JJG48" s="224"/>
      <c r="JJH48" s="223"/>
      <c r="JJI48" s="223"/>
      <c r="JJJ48" s="223"/>
      <c r="JJK48" s="223"/>
      <c r="JJL48" s="225"/>
      <c r="JJM48" s="220"/>
      <c r="JJN48" s="221"/>
      <c r="JJO48" s="222"/>
      <c r="JJP48" s="222"/>
      <c r="JJQ48" s="223"/>
      <c r="JJR48" s="223"/>
      <c r="JJS48" s="224"/>
      <c r="JJT48" s="223"/>
      <c r="JJU48" s="223"/>
      <c r="JJV48" s="223"/>
      <c r="JJW48" s="223"/>
      <c r="JJX48" s="225"/>
      <c r="JJY48" s="220"/>
      <c r="JJZ48" s="221"/>
      <c r="JKA48" s="222"/>
      <c r="JKB48" s="222"/>
      <c r="JKC48" s="223"/>
      <c r="JKD48" s="223"/>
      <c r="JKE48" s="224"/>
      <c r="JKF48" s="223"/>
      <c r="JKG48" s="223"/>
      <c r="JKH48" s="223"/>
      <c r="JKI48" s="223"/>
      <c r="JKJ48" s="225"/>
      <c r="JKK48" s="220"/>
      <c r="JKL48" s="221"/>
      <c r="JKM48" s="222"/>
      <c r="JKN48" s="222"/>
      <c r="JKO48" s="223"/>
      <c r="JKP48" s="223"/>
      <c r="JKQ48" s="224"/>
      <c r="JKR48" s="223"/>
      <c r="JKS48" s="223"/>
      <c r="JKT48" s="223"/>
      <c r="JKU48" s="223"/>
      <c r="JKV48" s="225"/>
      <c r="JKW48" s="220"/>
      <c r="JKX48" s="221"/>
      <c r="JKY48" s="222"/>
      <c r="JKZ48" s="222"/>
      <c r="JLA48" s="223"/>
      <c r="JLB48" s="223"/>
      <c r="JLC48" s="224"/>
      <c r="JLD48" s="223"/>
      <c r="JLE48" s="223"/>
      <c r="JLF48" s="223"/>
      <c r="JLG48" s="223"/>
      <c r="JLH48" s="225"/>
      <c r="JLI48" s="220"/>
      <c r="JLJ48" s="221"/>
      <c r="JLK48" s="222"/>
      <c r="JLL48" s="222"/>
      <c r="JLM48" s="223"/>
      <c r="JLN48" s="223"/>
      <c r="JLO48" s="224"/>
      <c r="JLP48" s="223"/>
      <c r="JLQ48" s="223"/>
      <c r="JLR48" s="223"/>
      <c r="JLS48" s="223"/>
      <c r="JLT48" s="225"/>
      <c r="JLU48" s="220"/>
      <c r="JLV48" s="221"/>
      <c r="JLW48" s="222"/>
      <c r="JLX48" s="222"/>
      <c r="JLY48" s="223"/>
      <c r="JLZ48" s="223"/>
      <c r="JMA48" s="224"/>
      <c r="JMB48" s="223"/>
      <c r="JMC48" s="223"/>
      <c r="JMD48" s="223"/>
      <c r="JME48" s="223"/>
      <c r="JMF48" s="225"/>
      <c r="JMG48" s="220"/>
      <c r="JMH48" s="221"/>
      <c r="JMI48" s="222"/>
      <c r="JMJ48" s="222"/>
      <c r="JMK48" s="223"/>
      <c r="JML48" s="223"/>
      <c r="JMM48" s="224"/>
      <c r="JMN48" s="223"/>
      <c r="JMO48" s="223"/>
      <c r="JMP48" s="223"/>
      <c r="JMQ48" s="223"/>
      <c r="JMR48" s="225"/>
      <c r="JMS48" s="220"/>
      <c r="JMT48" s="221"/>
      <c r="JMU48" s="222"/>
      <c r="JMV48" s="222"/>
      <c r="JMW48" s="223"/>
      <c r="JMX48" s="223"/>
      <c r="JMY48" s="224"/>
      <c r="JMZ48" s="223"/>
      <c r="JNA48" s="223"/>
      <c r="JNB48" s="223"/>
      <c r="JNC48" s="223"/>
      <c r="JND48" s="225"/>
      <c r="JNE48" s="220"/>
      <c r="JNF48" s="221"/>
      <c r="JNG48" s="222"/>
      <c r="JNH48" s="222"/>
      <c r="JNI48" s="223"/>
      <c r="JNJ48" s="223"/>
      <c r="JNK48" s="224"/>
      <c r="JNL48" s="223"/>
      <c r="JNM48" s="223"/>
      <c r="JNN48" s="223"/>
      <c r="JNO48" s="223"/>
      <c r="JNP48" s="225"/>
      <c r="JNQ48" s="220"/>
      <c r="JNR48" s="221"/>
      <c r="JNS48" s="222"/>
      <c r="JNT48" s="222"/>
      <c r="JNU48" s="223"/>
      <c r="JNV48" s="223"/>
      <c r="JNW48" s="224"/>
      <c r="JNX48" s="223"/>
      <c r="JNY48" s="223"/>
      <c r="JNZ48" s="223"/>
      <c r="JOA48" s="223"/>
      <c r="JOB48" s="225"/>
      <c r="JOC48" s="220"/>
      <c r="JOD48" s="221"/>
      <c r="JOE48" s="222"/>
      <c r="JOF48" s="222"/>
      <c r="JOG48" s="223"/>
      <c r="JOH48" s="223"/>
      <c r="JOI48" s="224"/>
      <c r="JOJ48" s="223"/>
      <c r="JOK48" s="223"/>
      <c r="JOL48" s="223"/>
      <c r="JOM48" s="223"/>
      <c r="JON48" s="225"/>
      <c r="JOO48" s="220"/>
      <c r="JOP48" s="221"/>
      <c r="JOQ48" s="222"/>
      <c r="JOR48" s="222"/>
      <c r="JOS48" s="223"/>
      <c r="JOT48" s="223"/>
      <c r="JOU48" s="224"/>
      <c r="JOV48" s="223"/>
      <c r="JOW48" s="223"/>
      <c r="JOX48" s="223"/>
      <c r="JOY48" s="223"/>
      <c r="JOZ48" s="225"/>
      <c r="JPA48" s="220"/>
      <c r="JPB48" s="221"/>
      <c r="JPC48" s="222"/>
      <c r="JPD48" s="222"/>
      <c r="JPE48" s="223"/>
      <c r="JPF48" s="223"/>
      <c r="JPG48" s="224"/>
      <c r="JPH48" s="223"/>
      <c r="JPI48" s="223"/>
      <c r="JPJ48" s="223"/>
      <c r="JPK48" s="223"/>
      <c r="JPL48" s="225"/>
      <c r="JPM48" s="220"/>
      <c r="JPN48" s="221"/>
      <c r="JPO48" s="222"/>
      <c r="JPP48" s="222"/>
      <c r="JPQ48" s="223"/>
      <c r="JPR48" s="223"/>
      <c r="JPS48" s="224"/>
      <c r="JPT48" s="223"/>
      <c r="JPU48" s="223"/>
      <c r="JPV48" s="223"/>
      <c r="JPW48" s="223"/>
      <c r="JPX48" s="225"/>
      <c r="JPY48" s="220"/>
      <c r="JPZ48" s="221"/>
      <c r="JQA48" s="222"/>
      <c r="JQB48" s="222"/>
      <c r="JQC48" s="223"/>
      <c r="JQD48" s="223"/>
      <c r="JQE48" s="224"/>
      <c r="JQF48" s="223"/>
      <c r="JQG48" s="223"/>
      <c r="JQH48" s="223"/>
      <c r="JQI48" s="223"/>
      <c r="JQJ48" s="225"/>
      <c r="JQK48" s="220"/>
      <c r="JQL48" s="221"/>
      <c r="JQM48" s="222"/>
      <c r="JQN48" s="222"/>
      <c r="JQO48" s="223"/>
      <c r="JQP48" s="223"/>
      <c r="JQQ48" s="224"/>
      <c r="JQR48" s="223"/>
      <c r="JQS48" s="223"/>
      <c r="JQT48" s="223"/>
      <c r="JQU48" s="223"/>
      <c r="JQV48" s="225"/>
      <c r="JQW48" s="220"/>
      <c r="JQX48" s="221"/>
      <c r="JQY48" s="222"/>
      <c r="JQZ48" s="222"/>
      <c r="JRA48" s="223"/>
      <c r="JRB48" s="223"/>
      <c r="JRC48" s="224"/>
      <c r="JRD48" s="223"/>
      <c r="JRE48" s="223"/>
      <c r="JRF48" s="223"/>
      <c r="JRG48" s="223"/>
      <c r="JRH48" s="225"/>
      <c r="JRI48" s="220"/>
      <c r="JRJ48" s="221"/>
      <c r="JRK48" s="222"/>
      <c r="JRL48" s="222"/>
      <c r="JRM48" s="223"/>
      <c r="JRN48" s="223"/>
      <c r="JRO48" s="224"/>
      <c r="JRP48" s="223"/>
      <c r="JRQ48" s="223"/>
      <c r="JRR48" s="223"/>
      <c r="JRS48" s="223"/>
      <c r="JRT48" s="225"/>
      <c r="JRU48" s="220"/>
      <c r="JRV48" s="221"/>
      <c r="JRW48" s="222"/>
      <c r="JRX48" s="222"/>
      <c r="JRY48" s="223"/>
      <c r="JRZ48" s="223"/>
      <c r="JSA48" s="224"/>
      <c r="JSB48" s="223"/>
      <c r="JSC48" s="223"/>
      <c r="JSD48" s="223"/>
      <c r="JSE48" s="223"/>
      <c r="JSF48" s="225"/>
      <c r="JSG48" s="220"/>
      <c r="JSH48" s="221"/>
      <c r="JSI48" s="222"/>
      <c r="JSJ48" s="222"/>
      <c r="JSK48" s="223"/>
      <c r="JSL48" s="223"/>
      <c r="JSM48" s="224"/>
      <c r="JSN48" s="223"/>
      <c r="JSO48" s="223"/>
      <c r="JSP48" s="223"/>
      <c r="JSQ48" s="223"/>
      <c r="JSR48" s="225"/>
      <c r="JSS48" s="220"/>
      <c r="JST48" s="221"/>
      <c r="JSU48" s="222"/>
      <c r="JSV48" s="222"/>
      <c r="JSW48" s="223"/>
      <c r="JSX48" s="223"/>
      <c r="JSY48" s="224"/>
      <c r="JSZ48" s="223"/>
      <c r="JTA48" s="223"/>
      <c r="JTB48" s="223"/>
      <c r="JTC48" s="223"/>
      <c r="JTD48" s="225"/>
      <c r="JTE48" s="220"/>
      <c r="JTF48" s="221"/>
      <c r="JTG48" s="222"/>
      <c r="JTH48" s="222"/>
      <c r="JTI48" s="223"/>
      <c r="JTJ48" s="223"/>
      <c r="JTK48" s="224"/>
      <c r="JTL48" s="223"/>
      <c r="JTM48" s="223"/>
      <c r="JTN48" s="223"/>
      <c r="JTO48" s="223"/>
      <c r="JTP48" s="225"/>
      <c r="JTQ48" s="220"/>
      <c r="JTR48" s="221"/>
      <c r="JTS48" s="222"/>
      <c r="JTT48" s="222"/>
      <c r="JTU48" s="223"/>
      <c r="JTV48" s="223"/>
      <c r="JTW48" s="224"/>
      <c r="JTX48" s="223"/>
      <c r="JTY48" s="223"/>
      <c r="JTZ48" s="223"/>
      <c r="JUA48" s="223"/>
      <c r="JUB48" s="225"/>
      <c r="JUC48" s="220"/>
      <c r="JUD48" s="221"/>
      <c r="JUE48" s="222"/>
      <c r="JUF48" s="222"/>
      <c r="JUG48" s="223"/>
      <c r="JUH48" s="223"/>
      <c r="JUI48" s="224"/>
      <c r="JUJ48" s="223"/>
      <c r="JUK48" s="223"/>
      <c r="JUL48" s="223"/>
      <c r="JUM48" s="223"/>
      <c r="JUN48" s="225"/>
      <c r="JUO48" s="220"/>
      <c r="JUP48" s="221"/>
      <c r="JUQ48" s="222"/>
      <c r="JUR48" s="222"/>
      <c r="JUS48" s="223"/>
      <c r="JUT48" s="223"/>
      <c r="JUU48" s="224"/>
      <c r="JUV48" s="223"/>
      <c r="JUW48" s="223"/>
      <c r="JUX48" s="223"/>
      <c r="JUY48" s="223"/>
      <c r="JUZ48" s="225"/>
      <c r="JVA48" s="220"/>
      <c r="JVB48" s="221"/>
      <c r="JVC48" s="222"/>
      <c r="JVD48" s="222"/>
      <c r="JVE48" s="223"/>
      <c r="JVF48" s="223"/>
      <c r="JVG48" s="224"/>
      <c r="JVH48" s="223"/>
      <c r="JVI48" s="223"/>
      <c r="JVJ48" s="223"/>
      <c r="JVK48" s="223"/>
      <c r="JVL48" s="225"/>
      <c r="JVM48" s="220"/>
      <c r="JVN48" s="221"/>
      <c r="JVO48" s="222"/>
      <c r="JVP48" s="222"/>
      <c r="JVQ48" s="223"/>
      <c r="JVR48" s="223"/>
      <c r="JVS48" s="224"/>
      <c r="JVT48" s="223"/>
      <c r="JVU48" s="223"/>
      <c r="JVV48" s="223"/>
      <c r="JVW48" s="223"/>
      <c r="JVX48" s="225"/>
      <c r="JVY48" s="220"/>
      <c r="JVZ48" s="221"/>
      <c r="JWA48" s="222"/>
      <c r="JWB48" s="222"/>
      <c r="JWC48" s="223"/>
      <c r="JWD48" s="223"/>
      <c r="JWE48" s="224"/>
      <c r="JWF48" s="223"/>
      <c r="JWG48" s="223"/>
      <c r="JWH48" s="223"/>
      <c r="JWI48" s="223"/>
      <c r="JWJ48" s="225"/>
      <c r="JWK48" s="220"/>
      <c r="JWL48" s="221"/>
      <c r="JWM48" s="222"/>
      <c r="JWN48" s="222"/>
      <c r="JWO48" s="223"/>
      <c r="JWP48" s="223"/>
      <c r="JWQ48" s="224"/>
      <c r="JWR48" s="223"/>
      <c r="JWS48" s="223"/>
      <c r="JWT48" s="223"/>
      <c r="JWU48" s="223"/>
      <c r="JWV48" s="225"/>
      <c r="JWW48" s="220"/>
      <c r="JWX48" s="221"/>
      <c r="JWY48" s="222"/>
      <c r="JWZ48" s="222"/>
      <c r="JXA48" s="223"/>
      <c r="JXB48" s="223"/>
      <c r="JXC48" s="224"/>
      <c r="JXD48" s="223"/>
      <c r="JXE48" s="223"/>
      <c r="JXF48" s="223"/>
      <c r="JXG48" s="223"/>
      <c r="JXH48" s="225"/>
      <c r="JXI48" s="220"/>
      <c r="JXJ48" s="221"/>
      <c r="JXK48" s="222"/>
      <c r="JXL48" s="222"/>
      <c r="JXM48" s="223"/>
      <c r="JXN48" s="223"/>
      <c r="JXO48" s="224"/>
      <c r="JXP48" s="223"/>
      <c r="JXQ48" s="223"/>
      <c r="JXR48" s="223"/>
      <c r="JXS48" s="223"/>
      <c r="JXT48" s="225"/>
      <c r="JXU48" s="220"/>
      <c r="JXV48" s="221"/>
      <c r="JXW48" s="222"/>
      <c r="JXX48" s="222"/>
      <c r="JXY48" s="223"/>
      <c r="JXZ48" s="223"/>
      <c r="JYA48" s="224"/>
      <c r="JYB48" s="223"/>
      <c r="JYC48" s="223"/>
      <c r="JYD48" s="223"/>
      <c r="JYE48" s="223"/>
      <c r="JYF48" s="225"/>
      <c r="JYG48" s="220"/>
      <c r="JYH48" s="221"/>
      <c r="JYI48" s="222"/>
      <c r="JYJ48" s="222"/>
      <c r="JYK48" s="223"/>
      <c r="JYL48" s="223"/>
      <c r="JYM48" s="224"/>
      <c r="JYN48" s="223"/>
      <c r="JYO48" s="223"/>
      <c r="JYP48" s="223"/>
      <c r="JYQ48" s="223"/>
      <c r="JYR48" s="225"/>
      <c r="JYS48" s="220"/>
      <c r="JYT48" s="221"/>
      <c r="JYU48" s="222"/>
      <c r="JYV48" s="222"/>
      <c r="JYW48" s="223"/>
      <c r="JYX48" s="223"/>
      <c r="JYY48" s="224"/>
      <c r="JYZ48" s="223"/>
      <c r="JZA48" s="223"/>
      <c r="JZB48" s="223"/>
      <c r="JZC48" s="223"/>
      <c r="JZD48" s="225"/>
      <c r="JZE48" s="220"/>
      <c r="JZF48" s="221"/>
      <c r="JZG48" s="222"/>
      <c r="JZH48" s="222"/>
      <c r="JZI48" s="223"/>
      <c r="JZJ48" s="223"/>
      <c r="JZK48" s="224"/>
      <c r="JZL48" s="223"/>
      <c r="JZM48" s="223"/>
      <c r="JZN48" s="223"/>
      <c r="JZO48" s="223"/>
      <c r="JZP48" s="225"/>
      <c r="JZQ48" s="220"/>
      <c r="JZR48" s="221"/>
      <c r="JZS48" s="222"/>
      <c r="JZT48" s="222"/>
      <c r="JZU48" s="223"/>
      <c r="JZV48" s="223"/>
      <c r="JZW48" s="224"/>
      <c r="JZX48" s="223"/>
      <c r="JZY48" s="223"/>
      <c r="JZZ48" s="223"/>
      <c r="KAA48" s="223"/>
      <c r="KAB48" s="225"/>
      <c r="KAC48" s="220"/>
      <c r="KAD48" s="221"/>
      <c r="KAE48" s="222"/>
      <c r="KAF48" s="222"/>
      <c r="KAG48" s="223"/>
      <c r="KAH48" s="223"/>
      <c r="KAI48" s="224"/>
      <c r="KAJ48" s="223"/>
      <c r="KAK48" s="223"/>
      <c r="KAL48" s="223"/>
      <c r="KAM48" s="223"/>
      <c r="KAN48" s="225"/>
      <c r="KAO48" s="220"/>
      <c r="KAP48" s="221"/>
      <c r="KAQ48" s="222"/>
      <c r="KAR48" s="222"/>
      <c r="KAS48" s="223"/>
      <c r="KAT48" s="223"/>
      <c r="KAU48" s="224"/>
      <c r="KAV48" s="223"/>
      <c r="KAW48" s="223"/>
      <c r="KAX48" s="223"/>
      <c r="KAY48" s="223"/>
      <c r="KAZ48" s="225"/>
      <c r="KBA48" s="220"/>
      <c r="KBB48" s="221"/>
      <c r="KBC48" s="222"/>
      <c r="KBD48" s="222"/>
      <c r="KBE48" s="223"/>
      <c r="KBF48" s="223"/>
      <c r="KBG48" s="224"/>
      <c r="KBH48" s="223"/>
      <c r="KBI48" s="223"/>
      <c r="KBJ48" s="223"/>
      <c r="KBK48" s="223"/>
      <c r="KBL48" s="225"/>
      <c r="KBM48" s="220"/>
      <c r="KBN48" s="221"/>
      <c r="KBO48" s="222"/>
      <c r="KBP48" s="222"/>
      <c r="KBQ48" s="223"/>
      <c r="KBR48" s="223"/>
      <c r="KBS48" s="224"/>
      <c r="KBT48" s="223"/>
      <c r="KBU48" s="223"/>
      <c r="KBV48" s="223"/>
      <c r="KBW48" s="223"/>
      <c r="KBX48" s="225"/>
      <c r="KBY48" s="220"/>
      <c r="KBZ48" s="221"/>
      <c r="KCA48" s="222"/>
      <c r="KCB48" s="222"/>
      <c r="KCC48" s="223"/>
      <c r="KCD48" s="223"/>
      <c r="KCE48" s="224"/>
      <c r="KCF48" s="223"/>
      <c r="KCG48" s="223"/>
      <c r="KCH48" s="223"/>
      <c r="KCI48" s="223"/>
      <c r="KCJ48" s="225"/>
      <c r="KCK48" s="220"/>
      <c r="KCL48" s="221"/>
      <c r="KCM48" s="222"/>
      <c r="KCN48" s="222"/>
      <c r="KCO48" s="223"/>
      <c r="KCP48" s="223"/>
      <c r="KCQ48" s="224"/>
      <c r="KCR48" s="223"/>
      <c r="KCS48" s="223"/>
      <c r="KCT48" s="223"/>
      <c r="KCU48" s="223"/>
      <c r="KCV48" s="225"/>
      <c r="KCW48" s="220"/>
      <c r="KCX48" s="221"/>
      <c r="KCY48" s="222"/>
      <c r="KCZ48" s="222"/>
      <c r="KDA48" s="223"/>
      <c r="KDB48" s="223"/>
      <c r="KDC48" s="224"/>
      <c r="KDD48" s="223"/>
      <c r="KDE48" s="223"/>
      <c r="KDF48" s="223"/>
      <c r="KDG48" s="223"/>
      <c r="KDH48" s="225"/>
      <c r="KDI48" s="220"/>
      <c r="KDJ48" s="221"/>
      <c r="KDK48" s="222"/>
      <c r="KDL48" s="222"/>
      <c r="KDM48" s="223"/>
      <c r="KDN48" s="223"/>
      <c r="KDO48" s="224"/>
      <c r="KDP48" s="223"/>
      <c r="KDQ48" s="223"/>
      <c r="KDR48" s="223"/>
      <c r="KDS48" s="223"/>
      <c r="KDT48" s="225"/>
      <c r="KDU48" s="220"/>
      <c r="KDV48" s="221"/>
      <c r="KDW48" s="222"/>
      <c r="KDX48" s="222"/>
      <c r="KDY48" s="223"/>
      <c r="KDZ48" s="223"/>
      <c r="KEA48" s="224"/>
      <c r="KEB48" s="223"/>
      <c r="KEC48" s="223"/>
      <c r="KED48" s="223"/>
      <c r="KEE48" s="223"/>
      <c r="KEF48" s="225"/>
      <c r="KEG48" s="220"/>
      <c r="KEH48" s="221"/>
      <c r="KEI48" s="222"/>
      <c r="KEJ48" s="222"/>
      <c r="KEK48" s="223"/>
      <c r="KEL48" s="223"/>
      <c r="KEM48" s="224"/>
      <c r="KEN48" s="223"/>
      <c r="KEO48" s="223"/>
      <c r="KEP48" s="223"/>
      <c r="KEQ48" s="223"/>
      <c r="KER48" s="225"/>
      <c r="KES48" s="220"/>
      <c r="KET48" s="221"/>
      <c r="KEU48" s="222"/>
      <c r="KEV48" s="222"/>
      <c r="KEW48" s="223"/>
      <c r="KEX48" s="223"/>
      <c r="KEY48" s="224"/>
      <c r="KEZ48" s="223"/>
      <c r="KFA48" s="223"/>
      <c r="KFB48" s="223"/>
      <c r="KFC48" s="223"/>
      <c r="KFD48" s="225"/>
      <c r="KFE48" s="220"/>
      <c r="KFF48" s="221"/>
      <c r="KFG48" s="222"/>
      <c r="KFH48" s="222"/>
      <c r="KFI48" s="223"/>
      <c r="KFJ48" s="223"/>
      <c r="KFK48" s="224"/>
      <c r="KFL48" s="223"/>
      <c r="KFM48" s="223"/>
      <c r="KFN48" s="223"/>
      <c r="KFO48" s="223"/>
      <c r="KFP48" s="225"/>
      <c r="KFQ48" s="220"/>
      <c r="KFR48" s="221"/>
      <c r="KFS48" s="222"/>
      <c r="KFT48" s="222"/>
      <c r="KFU48" s="223"/>
      <c r="KFV48" s="223"/>
      <c r="KFW48" s="224"/>
      <c r="KFX48" s="223"/>
      <c r="KFY48" s="223"/>
      <c r="KFZ48" s="223"/>
      <c r="KGA48" s="223"/>
      <c r="KGB48" s="225"/>
      <c r="KGC48" s="220"/>
      <c r="KGD48" s="221"/>
      <c r="KGE48" s="222"/>
      <c r="KGF48" s="222"/>
      <c r="KGG48" s="223"/>
      <c r="KGH48" s="223"/>
      <c r="KGI48" s="224"/>
      <c r="KGJ48" s="223"/>
      <c r="KGK48" s="223"/>
      <c r="KGL48" s="223"/>
      <c r="KGM48" s="223"/>
      <c r="KGN48" s="225"/>
      <c r="KGO48" s="220"/>
      <c r="KGP48" s="221"/>
      <c r="KGQ48" s="222"/>
      <c r="KGR48" s="222"/>
      <c r="KGS48" s="223"/>
      <c r="KGT48" s="223"/>
      <c r="KGU48" s="224"/>
      <c r="KGV48" s="223"/>
      <c r="KGW48" s="223"/>
      <c r="KGX48" s="223"/>
      <c r="KGY48" s="223"/>
      <c r="KGZ48" s="225"/>
      <c r="KHA48" s="220"/>
      <c r="KHB48" s="221"/>
      <c r="KHC48" s="222"/>
      <c r="KHD48" s="222"/>
      <c r="KHE48" s="223"/>
      <c r="KHF48" s="223"/>
      <c r="KHG48" s="224"/>
      <c r="KHH48" s="223"/>
      <c r="KHI48" s="223"/>
      <c r="KHJ48" s="223"/>
      <c r="KHK48" s="223"/>
      <c r="KHL48" s="225"/>
      <c r="KHM48" s="220"/>
      <c r="KHN48" s="221"/>
      <c r="KHO48" s="222"/>
      <c r="KHP48" s="222"/>
      <c r="KHQ48" s="223"/>
      <c r="KHR48" s="223"/>
      <c r="KHS48" s="224"/>
      <c r="KHT48" s="223"/>
      <c r="KHU48" s="223"/>
      <c r="KHV48" s="223"/>
      <c r="KHW48" s="223"/>
      <c r="KHX48" s="225"/>
      <c r="KHY48" s="220"/>
      <c r="KHZ48" s="221"/>
      <c r="KIA48" s="222"/>
      <c r="KIB48" s="222"/>
      <c r="KIC48" s="223"/>
      <c r="KID48" s="223"/>
      <c r="KIE48" s="224"/>
      <c r="KIF48" s="223"/>
      <c r="KIG48" s="223"/>
      <c r="KIH48" s="223"/>
      <c r="KII48" s="223"/>
      <c r="KIJ48" s="225"/>
      <c r="KIK48" s="220"/>
      <c r="KIL48" s="221"/>
      <c r="KIM48" s="222"/>
      <c r="KIN48" s="222"/>
      <c r="KIO48" s="223"/>
      <c r="KIP48" s="223"/>
      <c r="KIQ48" s="224"/>
      <c r="KIR48" s="223"/>
      <c r="KIS48" s="223"/>
      <c r="KIT48" s="223"/>
      <c r="KIU48" s="223"/>
      <c r="KIV48" s="225"/>
      <c r="KIW48" s="220"/>
      <c r="KIX48" s="221"/>
      <c r="KIY48" s="222"/>
      <c r="KIZ48" s="222"/>
      <c r="KJA48" s="223"/>
      <c r="KJB48" s="223"/>
      <c r="KJC48" s="224"/>
      <c r="KJD48" s="223"/>
      <c r="KJE48" s="223"/>
      <c r="KJF48" s="223"/>
      <c r="KJG48" s="223"/>
      <c r="KJH48" s="225"/>
      <c r="KJI48" s="220"/>
      <c r="KJJ48" s="221"/>
      <c r="KJK48" s="222"/>
      <c r="KJL48" s="222"/>
      <c r="KJM48" s="223"/>
      <c r="KJN48" s="223"/>
      <c r="KJO48" s="224"/>
      <c r="KJP48" s="223"/>
      <c r="KJQ48" s="223"/>
      <c r="KJR48" s="223"/>
      <c r="KJS48" s="223"/>
      <c r="KJT48" s="225"/>
      <c r="KJU48" s="220"/>
      <c r="KJV48" s="221"/>
      <c r="KJW48" s="222"/>
      <c r="KJX48" s="222"/>
      <c r="KJY48" s="223"/>
      <c r="KJZ48" s="223"/>
      <c r="KKA48" s="224"/>
      <c r="KKB48" s="223"/>
      <c r="KKC48" s="223"/>
      <c r="KKD48" s="223"/>
      <c r="KKE48" s="223"/>
      <c r="KKF48" s="225"/>
      <c r="KKG48" s="220"/>
      <c r="KKH48" s="221"/>
      <c r="KKI48" s="222"/>
      <c r="KKJ48" s="222"/>
      <c r="KKK48" s="223"/>
      <c r="KKL48" s="223"/>
      <c r="KKM48" s="224"/>
      <c r="KKN48" s="223"/>
      <c r="KKO48" s="223"/>
      <c r="KKP48" s="223"/>
      <c r="KKQ48" s="223"/>
      <c r="KKR48" s="225"/>
      <c r="KKS48" s="220"/>
      <c r="KKT48" s="221"/>
      <c r="KKU48" s="222"/>
      <c r="KKV48" s="222"/>
      <c r="KKW48" s="223"/>
      <c r="KKX48" s="223"/>
      <c r="KKY48" s="224"/>
      <c r="KKZ48" s="223"/>
      <c r="KLA48" s="223"/>
      <c r="KLB48" s="223"/>
      <c r="KLC48" s="223"/>
      <c r="KLD48" s="225"/>
      <c r="KLE48" s="220"/>
      <c r="KLF48" s="221"/>
      <c r="KLG48" s="222"/>
      <c r="KLH48" s="222"/>
      <c r="KLI48" s="223"/>
      <c r="KLJ48" s="223"/>
      <c r="KLK48" s="224"/>
      <c r="KLL48" s="223"/>
      <c r="KLM48" s="223"/>
      <c r="KLN48" s="223"/>
      <c r="KLO48" s="223"/>
      <c r="KLP48" s="225"/>
      <c r="KLQ48" s="220"/>
      <c r="KLR48" s="221"/>
      <c r="KLS48" s="222"/>
      <c r="KLT48" s="222"/>
      <c r="KLU48" s="223"/>
      <c r="KLV48" s="223"/>
      <c r="KLW48" s="224"/>
      <c r="KLX48" s="223"/>
      <c r="KLY48" s="223"/>
      <c r="KLZ48" s="223"/>
      <c r="KMA48" s="223"/>
      <c r="KMB48" s="225"/>
      <c r="KMC48" s="220"/>
      <c r="KMD48" s="221"/>
      <c r="KME48" s="222"/>
      <c r="KMF48" s="222"/>
      <c r="KMG48" s="223"/>
      <c r="KMH48" s="223"/>
      <c r="KMI48" s="224"/>
      <c r="KMJ48" s="223"/>
      <c r="KMK48" s="223"/>
      <c r="KML48" s="223"/>
      <c r="KMM48" s="223"/>
      <c r="KMN48" s="225"/>
      <c r="KMO48" s="220"/>
      <c r="KMP48" s="221"/>
      <c r="KMQ48" s="222"/>
      <c r="KMR48" s="222"/>
      <c r="KMS48" s="223"/>
      <c r="KMT48" s="223"/>
      <c r="KMU48" s="224"/>
      <c r="KMV48" s="223"/>
      <c r="KMW48" s="223"/>
      <c r="KMX48" s="223"/>
      <c r="KMY48" s="223"/>
      <c r="KMZ48" s="225"/>
      <c r="KNA48" s="220"/>
      <c r="KNB48" s="221"/>
      <c r="KNC48" s="222"/>
      <c r="KND48" s="222"/>
      <c r="KNE48" s="223"/>
      <c r="KNF48" s="223"/>
      <c r="KNG48" s="224"/>
      <c r="KNH48" s="223"/>
      <c r="KNI48" s="223"/>
      <c r="KNJ48" s="223"/>
      <c r="KNK48" s="223"/>
      <c r="KNL48" s="225"/>
      <c r="KNM48" s="220"/>
      <c r="KNN48" s="221"/>
      <c r="KNO48" s="222"/>
      <c r="KNP48" s="222"/>
      <c r="KNQ48" s="223"/>
      <c r="KNR48" s="223"/>
      <c r="KNS48" s="224"/>
      <c r="KNT48" s="223"/>
      <c r="KNU48" s="223"/>
      <c r="KNV48" s="223"/>
      <c r="KNW48" s="223"/>
      <c r="KNX48" s="225"/>
      <c r="KNY48" s="220"/>
      <c r="KNZ48" s="221"/>
      <c r="KOA48" s="222"/>
      <c r="KOB48" s="222"/>
      <c r="KOC48" s="223"/>
      <c r="KOD48" s="223"/>
      <c r="KOE48" s="224"/>
      <c r="KOF48" s="223"/>
      <c r="KOG48" s="223"/>
      <c r="KOH48" s="223"/>
      <c r="KOI48" s="223"/>
      <c r="KOJ48" s="225"/>
      <c r="KOK48" s="220"/>
      <c r="KOL48" s="221"/>
      <c r="KOM48" s="222"/>
      <c r="KON48" s="222"/>
      <c r="KOO48" s="223"/>
      <c r="KOP48" s="223"/>
      <c r="KOQ48" s="224"/>
      <c r="KOR48" s="223"/>
      <c r="KOS48" s="223"/>
      <c r="KOT48" s="223"/>
      <c r="KOU48" s="223"/>
      <c r="KOV48" s="225"/>
      <c r="KOW48" s="220"/>
      <c r="KOX48" s="221"/>
      <c r="KOY48" s="222"/>
      <c r="KOZ48" s="222"/>
      <c r="KPA48" s="223"/>
      <c r="KPB48" s="223"/>
      <c r="KPC48" s="224"/>
      <c r="KPD48" s="223"/>
      <c r="KPE48" s="223"/>
      <c r="KPF48" s="223"/>
      <c r="KPG48" s="223"/>
      <c r="KPH48" s="225"/>
      <c r="KPI48" s="220"/>
      <c r="KPJ48" s="221"/>
      <c r="KPK48" s="222"/>
      <c r="KPL48" s="222"/>
      <c r="KPM48" s="223"/>
      <c r="KPN48" s="223"/>
      <c r="KPO48" s="224"/>
      <c r="KPP48" s="223"/>
      <c r="KPQ48" s="223"/>
      <c r="KPR48" s="223"/>
      <c r="KPS48" s="223"/>
      <c r="KPT48" s="225"/>
      <c r="KPU48" s="220"/>
      <c r="KPV48" s="221"/>
      <c r="KPW48" s="222"/>
      <c r="KPX48" s="222"/>
      <c r="KPY48" s="223"/>
      <c r="KPZ48" s="223"/>
      <c r="KQA48" s="224"/>
      <c r="KQB48" s="223"/>
      <c r="KQC48" s="223"/>
      <c r="KQD48" s="223"/>
      <c r="KQE48" s="223"/>
      <c r="KQF48" s="225"/>
      <c r="KQG48" s="220"/>
      <c r="KQH48" s="221"/>
      <c r="KQI48" s="222"/>
      <c r="KQJ48" s="222"/>
      <c r="KQK48" s="223"/>
      <c r="KQL48" s="223"/>
      <c r="KQM48" s="224"/>
      <c r="KQN48" s="223"/>
      <c r="KQO48" s="223"/>
      <c r="KQP48" s="223"/>
      <c r="KQQ48" s="223"/>
      <c r="KQR48" s="225"/>
      <c r="KQS48" s="220"/>
      <c r="KQT48" s="221"/>
      <c r="KQU48" s="222"/>
      <c r="KQV48" s="222"/>
      <c r="KQW48" s="223"/>
      <c r="KQX48" s="223"/>
      <c r="KQY48" s="224"/>
      <c r="KQZ48" s="223"/>
      <c r="KRA48" s="223"/>
      <c r="KRB48" s="223"/>
      <c r="KRC48" s="223"/>
      <c r="KRD48" s="225"/>
      <c r="KRE48" s="220"/>
      <c r="KRF48" s="221"/>
      <c r="KRG48" s="222"/>
      <c r="KRH48" s="222"/>
      <c r="KRI48" s="223"/>
      <c r="KRJ48" s="223"/>
      <c r="KRK48" s="224"/>
      <c r="KRL48" s="223"/>
      <c r="KRM48" s="223"/>
      <c r="KRN48" s="223"/>
      <c r="KRO48" s="223"/>
      <c r="KRP48" s="225"/>
      <c r="KRQ48" s="220"/>
      <c r="KRR48" s="221"/>
      <c r="KRS48" s="222"/>
      <c r="KRT48" s="222"/>
      <c r="KRU48" s="223"/>
      <c r="KRV48" s="223"/>
      <c r="KRW48" s="224"/>
      <c r="KRX48" s="223"/>
      <c r="KRY48" s="223"/>
      <c r="KRZ48" s="223"/>
      <c r="KSA48" s="223"/>
      <c r="KSB48" s="225"/>
      <c r="KSC48" s="220"/>
      <c r="KSD48" s="221"/>
      <c r="KSE48" s="222"/>
      <c r="KSF48" s="222"/>
      <c r="KSG48" s="223"/>
      <c r="KSH48" s="223"/>
      <c r="KSI48" s="224"/>
      <c r="KSJ48" s="223"/>
      <c r="KSK48" s="223"/>
      <c r="KSL48" s="223"/>
      <c r="KSM48" s="223"/>
      <c r="KSN48" s="225"/>
      <c r="KSO48" s="220"/>
      <c r="KSP48" s="221"/>
      <c r="KSQ48" s="222"/>
      <c r="KSR48" s="222"/>
      <c r="KSS48" s="223"/>
      <c r="KST48" s="223"/>
      <c r="KSU48" s="224"/>
      <c r="KSV48" s="223"/>
      <c r="KSW48" s="223"/>
      <c r="KSX48" s="223"/>
      <c r="KSY48" s="223"/>
      <c r="KSZ48" s="225"/>
      <c r="KTA48" s="220"/>
      <c r="KTB48" s="221"/>
      <c r="KTC48" s="222"/>
      <c r="KTD48" s="222"/>
      <c r="KTE48" s="223"/>
      <c r="KTF48" s="223"/>
      <c r="KTG48" s="224"/>
      <c r="KTH48" s="223"/>
      <c r="KTI48" s="223"/>
      <c r="KTJ48" s="223"/>
      <c r="KTK48" s="223"/>
      <c r="KTL48" s="225"/>
      <c r="KTM48" s="220"/>
      <c r="KTN48" s="221"/>
      <c r="KTO48" s="222"/>
      <c r="KTP48" s="222"/>
      <c r="KTQ48" s="223"/>
      <c r="KTR48" s="223"/>
      <c r="KTS48" s="224"/>
      <c r="KTT48" s="223"/>
      <c r="KTU48" s="223"/>
      <c r="KTV48" s="223"/>
      <c r="KTW48" s="223"/>
      <c r="KTX48" s="225"/>
      <c r="KTY48" s="220"/>
      <c r="KTZ48" s="221"/>
      <c r="KUA48" s="222"/>
      <c r="KUB48" s="222"/>
      <c r="KUC48" s="223"/>
      <c r="KUD48" s="223"/>
      <c r="KUE48" s="224"/>
      <c r="KUF48" s="223"/>
      <c r="KUG48" s="223"/>
      <c r="KUH48" s="223"/>
      <c r="KUI48" s="223"/>
      <c r="KUJ48" s="225"/>
      <c r="KUK48" s="220"/>
      <c r="KUL48" s="221"/>
      <c r="KUM48" s="222"/>
      <c r="KUN48" s="222"/>
      <c r="KUO48" s="223"/>
      <c r="KUP48" s="223"/>
      <c r="KUQ48" s="224"/>
      <c r="KUR48" s="223"/>
      <c r="KUS48" s="223"/>
      <c r="KUT48" s="223"/>
      <c r="KUU48" s="223"/>
      <c r="KUV48" s="225"/>
      <c r="KUW48" s="220"/>
      <c r="KUX48" s="221"/>
      <c r="KUY48" s="222"/>
      <c r="KUZ48" s="222"/>
      <c r="KVA48" s="223"/>
      <c r="KVB48" s="223"/>
      <c r="KVC48" s="224"/>
      <c r="KVD48" s="223"/>
      <c r="KVE48" s="223"/>
      <c r="KVF48" s="223"/>
      <c r="KVG48" s="223"/>
      <c r="KVH48" s="225"/>
      <c r="KVI48" s="220"/>
      <c r="KVJ48" s="221"/>
      <c r="KVK48" s="222"/>
      <c r="KVL48" s="222"/>
      <c r="KVM48" s="223"/>
      <c r="KVN48" s="223"/>
      <c r="KVO48" s="224"/>
      <c r="KVP48" s="223"/>
      <c r="KVQ48" s="223"/>
      <c r="KVR48" s="223"/>
      <c r="KVS48" s="223"/>
      <c r="KVT48" s="225"/>
      <c r="KVU48" s="220"/>
      <c r="KVV48" s="221"/>
      <c r="KVW48" s="222"/>
      <c r="KVX48" s="222"/>
      <c r="KVY48" s="223"/>
      <c r="KVZ48" s="223"/>
      <c r="KWA48" s="224"/>
      <c r="KWB48" s="223"/>
      <c r="KWC48" s="223"/>
      <c r="KWD48" s="223"/>
      <c r="KWE48" s="223"/>
      <c r="KWF48" s="225"/>
      <c r="KWG48" s="220"/>
      <c r="KWH48" s="221"/>
      <c r="KWI48" s="222"/>
      <c r="KWJ48" s="222"/>
      <c r="KWK48" s="223"/>
      <c r="KWL48" s="223"/>
      <c r="KWM48" s="224"/>
      <c r="KWN48" s="223"/>
      <c r="KWO48" s="223"/>
      <c r="KWP48" s="223"/>
      <c r="KWQ48" s="223"/>
      <c r="KWR48" s="225"/>
      <c r="KWS48" s="220"/>
      <c r="KWT48" s="221"/>
      <c r="KWU48" s="222"/>
      <c r="KWV48" s="222"/>
      <c r="KWW48" s="223"/>
      <c r="KWX48" s="223"/>
      <c r="KWY48" s="224"/>
      <c r="KWZ48" s="223"/>
      <c r="KXA48" s="223"/>
      <c r="KXB48" s="223"/>
      <c r="KXC48" s="223"/>
      <c r="KXD48" s="225"/>
      <c r="KXE48" s="220"/>
      <c r="KXF48" s="221"/>
      <c r="KXG48" s="222"/>
      <c r="KXH48" s="222"/>
      <c r="KXI48" s="223"/>
      <c r="KXJ48" s="223"/>
      <c r="KXK48" s="224"/>
      <c r="KXL48" s="223"/>
      <c r="KXM48" s="223"/>
      <c r="KXN48" s="223"/>
      <c r="KXO48" s="223"/>
      <c r="KXP48" s="225"/>
      <c r="KXQ48" s="220"/>
      <c r="KXR48" s="221"/>
      <c r="KXS48" s="222"/>
      <c r="KXT48" s="222"/>
      <c r="KXU48" s="223"/>
      <c r="KXV48" s="223"/>
      <c r="KXW48" s="224"/>
      <c r="KXX48" s="223"/>
      <c r="KXY48" s="223"/>
      <c r="KXZ48" s="223"/>
      <c r="KYA48" s="223"/>
      <c r="KYB48" s="225"/>
      <c r="KYC48" s="220"/>
      <c r="KYD48" s="221"/>
      <c r="KYE48" s="222"/>
      <c r="KYF48" s="222"/>
      <c r="KYG48" s="223"/>
      <c r="KYH48" s="223"/>
      <c r="KYI48" s="224"/>
      <c r="KYJ48" s="223"/>
      <c r="KYK48" s="223"/>
      <c r="KYL48" s="223"/>
      <c r="KYM48" s="223"/>
      <c r="KYN48" s="225"/>
      <c r="KYO48" s="220"/>
      <c r="KYP48" s="221"/>
      <c r="KYQ48" s="222"/>
      <c r="KYR48" s="222"/>
      <c r="KYS48" s="223"/>
      <c r="KYT48" s="223"/>
      <c r="KYU48" s="224"/>
      <c r="KYV48" s="223"/>
      <c r="KYW48" s="223"/>
      <c r="KYX48" s="223"/>
      <c r="KYY48" s="223"/>
      <c r="KYZ48" s="225"/>
      <c r="KZA48" s="220"/>
      <c r="KZB48" s="221"/>
      <c r="KZC48" s="222"/>
      <c r="KZD48" s="222"/>
      <c r="KZE48" s="223"/>
      <c r="KZF48" s="223"/>
      <c r="KZG48" s="224"/>
      <c r="KZH48" s="223"/>
      <c r="KZI48" s="223"/>
      <c r="KZJ48" s="223"/>
      <c r="KZK48" s="223"/>
      <c r="KZL48" s="225"/>
      <c r="KZM48" s="220"/>
      <c r="KZN48" s="221"/>
      <c r="KZO48" s="222"/>
      <c r="KZP48" s="222"/>
      <c r="KZQ48" s="223"/>
      <c r="KZR48" s="223"/>
      <c r="KZS48" s="224"/>
      <c r="KZT48" s="223"/>
      <c r="KZU48" s="223"/>
      <c r="KZV48" s="223"/>
      <c r="KZW48" s="223"/>
      <c r="KZX48" s="225"/>
      <c r="KZY48" s="220"/>
      <c r="KZZ48" s="221"/>
      <c r="LAA48" s="222"/>
      <c r="LAB48" s="222"/>
      <c r="LAC48" s="223"/>
      <c r="LAD48" s="223"/>
      <c r="LAE48" s="224"/>
      <c r="LAF48" s="223"/>
      <c r="LAG48" s="223"/>
      <c r="LAH48" s="223"/>
      <c r="LAI48" s="223"/>
      <c r="LAJ48" s="225"/>
      <c r="LAK48" s="220"/>
      <c r="LAL48" s="221"/>
      <c r="LAM48" s="222"/>
      <c r="LAN48" s="222"/>
      <c r="LAO48" s="223"/>
      <c r="LAP48" s="223"/>
      <c r="LAQ48" s="224"/>
      <c r="LAR48" s="223"/>
      <c r="LAS48" s="223"/>
      <c r="LAT48" s="223"/>
      <c r="LAU48" s="223"/>
      <c r="LAV48" s="225"/>
      <c r="LAW48" s="220"/>
      <c r="LAX48" s="221"/>
      <c r="LAY48" s="222"/>
      <c r="LAZ48" s="222"/>
      <c r="LBA48" s="223"/>
      <c r="LBB48" s="223"/>
      <c r="LBC48" s="224"/>
      <c r="LBD48" s="223"/>
      <c r="LBE48" s="223"/>
      <c r="LBF48" s="223"/>
      <c r="LBG48" s="223"/>
      <c r="LBH48" s="225"/>
      <c r="LBI48" s="220"/>
      <c r="LBJ48" s="221"/>
      <c r="LBK48" s="222"/>
      <c r="LBL48" s="222"/>
      <c r="LBM48" s="223"/>
      <c r="LBN48" s="223"/>
      <c r="LBO48" s="224"/>
      <c r="LBP48" s="223"/>
      <c r="LBQ48" s="223"/>
      <c r="LBR48" s="223"/>
      <c r="LBS48" s="223"/>
      <c r="LBT48" s="225"/>
      <c r="LBU48" s="220"/>
      <c r="LBV48" s="221"/>
      <c r="LBW48" s="222"/>
      <c r="LBX48" s="222"/>
      <c r="LBY48" s="223"/>
      <c r="LBZ48" s="223"/>
      <c r="LCA48" s="224"/>
      <c r="LCB48" s="223"/>
      <c r="LCC48" s="223"/>
      <c r="LCD48" s="223"/>
      <c r="LCE48" s="223"/>
      <c r="LCF48" s="225"/>
      <c r="LCG48" s="220"/>
      <c r="LCH48" s="221"/>
      <c r="LCI48" s="222"/>
      <c r="LCJ48" s="222"/>
      <c r="LCK48" s="223"/>
      <c r="LCL48" s="223"/>
      <c r="LCM48" s="224"/>
      <c r="LCN48" s="223"/>
      <c r="LCO48" s="223"/>
      <c r="LCP48" s="223"/>
      <c r="LCQ48" s="223"/>
      <c r="LCR48" s="225"/>
      <c r="LCS48" s="220"/>
      <c r="LCT48" s="221"/>
      <c r="LCU48" s="222"/>
      <c r="LCV48" s="222"/>
      <c r="LCW48" s="223"/>
      <c r="LCX48" s="223"/>
      <c r="LCY48" s="224"/>
      <c r="LCZ48" s="223"/>
      <c r="LDA48" s="223"/>
      <c r="LDB48" s="223"/>
      <c r="LDC48" s="223"/>
      <c r="LDD48" s="225"/>
      <c r="LDE48" s="220"/>
      <c r="LDF48" s="221"/>
      <c r="LDG48" s="222"/>
      <c r="LDH48" s="222"/>
      <c r="LDI48" s="223"/>
      <c r="LDJ48" s="223"/>
      <c r="LDK48" s="224"/>
      <c r="LDL48" s="223"/>
      <c r="LDM48" s="223"/>
      <c r="LDN48" s="223"/>
      <c r="LDO48" s="223"/>
      <c r="LDP48" s="225"/>
      <c r="LDQ48" s="220"/>
      <c r="LDR48" s="221"/>
      <c r="LDS48" s="222"/>
      <c r="LDT48" s="222"/>
      <c r="LDU48" s="223"/>
      <c r="LDV48" s="223"/>
      <c r="LDW48" s="224"/>
      <c r="LDX48" s="223"/>
      <c r="LDY48" s="223"/>
      <c r="LDZ48" s="223"/>
      <c r="LEA48" s="223"/>
      <c r="LEB48" s="225"/>
      <c r="LEC48" s="220"/>
      <c r="LED48" s="221"/>
      <c r="LEE48" s="222"/>
      <c r="LEF48" s="222"/>
      <c r="LEG48" s="223"/>
      <c r="LEH48" s="223"/>
      <c r="LEI48" s="224"/>
      <c r="LEJ48" s="223"/>
      <c r="LEK48" s="223"/>
      <c r="LEL48" s="223"/>
      <c r="LEM48" s="223"/>
      <c r="LEN48" s="225"/>
      <c r="LEO48" s="220"/>
      <c r="LEP48" s="221"/>
      <c r="LEQ48" s="222"/>
      <c r="LER48" s="222"/>
      <c r="LES48" s="223"/>
      <c r="LET48" s="223"/>
      <c r="LEU48" s="224"/>
      <c r="LEV48" s="223"/>
      <c r="LEW48" s="223"/>
      <c r="LEX48" s="223"/>
      <c r="LEY48" s="223"/>
      <c r="LEZ48" s="225"/>
      <c r="LFA48" s="220"/>
      <c r="LFB48" s="221"/>
      <c r="LFC48" s="222"/>
      <c r="LFD48" s="222"/>
      <c r="LFE48" s="223"/>
      <c r="LFF48" s="223"/>
      <c r="LFG48" s="224"/>
      <c r="LFH48" s="223"/>
      <c r="LFI48" s="223"/>
      <c r="LFJ48" s="223"/>
      <c r="LFK48" s="223"/>
      <c r="LFL48" s="225"/>
      <c r="LFM48" s="220"/>
      <c r="LFN48" s="221"/>
      <c r="LFO48" s="222"/>
      <c r="LFP48" s="222"/>
      <c r="LFQ48" s="223"/>
      <c r="LFR48" s="223"/>
      <c r="LFS48" s="224"/>
      <c r="LFT48" s="223"/>
      <c r="LFU48" s="223"/>
      <c r="LFV48" s="223"/>
      <c r="LFW48" s="223"/>
      <c r="LFX48" s="225"/>
      <c r="LFY48" s="220"/>
      <c r="LFZ48" s="221"/>
      <c r="LGA48" s="222"/>
      <c r="LGB48" s="222"/>
      <c r="LGC48" s="223"/>
      <c r="LGD48" s="223"/>
      <c r="LGE48" s="224"/>
      <c r="LGF48" s="223"/>
      <c r="LGG48" s="223"/>
      <c r="LGH48" s="223"/>
      <c r="LGI48" s="223"/>
      <c r="LGJ48" s="225"/>
      <c r="LGK48" s="220"/>
      <c r="LGL48" s="221"/>
      <c r="LGM48" s="222"/>
      <c r="LGN48" s="222"/>
      <c r="LGO48" s="223"/>
      <c r="LGP48" s="223"/>
      <c r="LGQ48" s="224"/>
      <c r="LGR48" s="223"/>
      <c r="LGS48" s="223"/>
      <c r="LGT48" s="223"/>
      <c r="LGU48" s="223"/>
      <c r="LGV48" s="225"/>
      <c r="LGW48" s="220"/>
      <c r="LGX48" s="221"/>
      <c r="LGY48" s="222"/>
      <c r="LGZ48" s="222"/>
      <c r="LHA48" s="223"/>
      <c r="LHB48" s="223"/>
      <c r="LHC48" s="224"/>
      <c r="LHD48" s="223"/>
      <c r="LHE48" s="223"/>
      <c r="LHF48" s="223"/>
      <c r="LHG48" s="223"/>
      <c r="LHH48" s="225"/>
      <c r="LHI48" s="220"/>
      <c r="LHJ48" s="221"/>
      <c r="LHK48" s="222"/>
      <c r="LHL48" s="222"/>
      <c r="LHM48" s="223"/>
      <c r="LHN48" s="223"/>
      <c r="LHO48" s="224"/>
      <c r="LHP48" s="223"/>
      <c r="LHQ48" s="223"/>
      <c r="LHR48" s="223"/>
      <c r="LHS48" s="223"/>
      <c r="LHT48" s="225"/>
      <c r="LHU48" s="220"/>
      <c r="LHV48" s="221"/>
      <c r="LHW48" s="222"/>
      <c r="LHX48" s="222"/>
      <c r="LHY48" s="223"/>
      <c r="LHZ48" s="223"/>
      <c r="LIA48" s="224"/>
      <c r="LIB48" s="223"/>
      <c r="LIC48" s="223"/>
      <c r="LID48" s="223"/>
      <c r="LIE48" s="223"/>
      <c r="LIF48" s="225"/>
      <c r="LIG48" s="220"/>
      <c r="LIH48" s="221"/>
      <c r="LII48" s="222"/>
      <c r="LIJ48" s="222"/>
      <c r="LIK48" s="223"/>
      <c r="LIL48" s="223"/>
      <c r="LIM48" s="224"/>
      <c r="LIN48" s="223"/>
      <c r="LIO48" s="223"/>
      <c r="LIP48" s="223"/>
      <c r="LIQ48" s="223"/>
      <c r="LIR48" s="225"/>
      <c r="LIS48" s="220"/>
      <c r="LIT48" s="221"/>
      <c r="LIU48" s="222"/>
      <c r="LIV48" s="222"/>
      <c r="LIW48" s="223"/>
      <c r="LIX48" s="223"/>
      <c r="LIY48" s="224"/>
      <c r="LIZ48" s="223"/>
      <c r="LJA48" s="223"/>
      <c r="LJB48" s="223"/>
      <c r="LJC48" s="223"/>
      <c r="LJD48" s="225"/>
      <c r="LJE48" s="220"/>
      <c r="LJF48" s="221"/>
      <c r="LJG48" s="222"/>
      <c r="LJH48" s="222"/>
      <c r="LJI48" s="223"/>
      <c r="LJJ48" s="223"/>
      <c r="LJK48" s="224"/>
      <c r="LJL48" s="223"/>
      <c r="LJM48" s="223"/>
      <c r="LJN48" s="223"/>
      <c r="LJO48" s="223"/>
      <c r="LJP48" s="225"/>
      <c r="LJQ48" s="220"/>
      <c r="LJR48" s="221"/>
      <c r="LJS48" s="222"/>
      <c r="LJT48" s="222"/>
      <c r="LJU48" s="223"/>
      <c r="LJV48" s="223"/>
      <c r="LJW48" s="224"/>
      <c r="LJX48" s="223"/>
      <c r="LJY48" s="223"/>
      <c r="LJZ48" s="223"/>
      <c r="LKA48" s="223"/>
      <c r="LKB48" s="225"/>
      <c r="LKC48" s="220"/>
      <c r="LKD48" s="221"/>
      <c r="LKE48" s="222"/>
      <c r="LKF48" s="222"/>
      <c r="LKG48" s="223"/>
      <c r="LKH48" s="223"/>
      <c r="LKI48" s="224"/>
      <c r="LKJ48" s="223"/>
      <c r="LKK48" s="223"/>
      <c r="LKL48" s="223"/>
      <c r="LKM48" s="223"/>
      <c r="LKN48" s="225"/>
      <c r="LKO48" s="220"/>
      <c r="LKP48" s="221"/>
      <c r="LKQ48" s="222"/>
      <c r="LKR48" s="222"/>
      <c r="LKS48" s="223"/>
      <c r="LKT48" s="223"/>
      <c r="LKU48" s="224"/>
      <c r="LKV48" s="223"/>
      <c r="LKW48" s="223"/>
      <c r="LKX48" s="223"/>
      <c r="LKY48" s="223"/>
      <c r="LKZ48" s="225"/>
      <c r="LLA48" s="220"/>
      <c r="LLB48" s="221"/>
      <c r="LLC48" s="222"/>
      <c r="LLD48" s="222"/>
      <c r="LLE48" s="223"/>
      <c r="LLF48" s="223"/>
      <c r="LLG48" s="224"/>
      <c r="LLH48" s="223"/>
      <c r="LLI48" s="223"/>
      <c r="LLJ48" s="223"/>
      <c r="LLK48" s="223"/>
      <c r="LLL48" s="225"/>
      <c r="LLM48" s="220"/>
      <c r="LLN48" s="221"/>
      <c r="LLO48" s="222"/>
      <c r="LLP48" s="222"/>
      <c r="LLQ48" s="223"/>
      <c r="LLR48" s="223"/>
      <c r="LLS48" s="224"/>
      <c r="LLT48" s="223"/>
      <c r="LLU48" s="223"/>
      <c r="LLV48" s="223"/>
      <c r="LLW48" s="223"/>
      <c r="LLX48" s="225"/>
      <c r="LLY48" s="220"/>
      <c r="LLZ48" s="221"/>
      <c r="LMA48" s="222"/>
      <c r="LMB48" s="222"/>
      <c r="LMC48" s="223"/>
      <c r="LMD48" s="223"/>
      <c r="LME48" s="224"/>
      <c r="LMF48" s="223"/>
      <c r="LMG48" s="223"/>
      <c r="LMH48" s="223"/>
      <c r="LMI48" s="223"/>
      <c r="LMJ48" s="225"/>
      <c r="LMK48" s="220"/>
      <c r="LML48" s="221"/>
      <c r="LMM48" s="222"/>
      <c r="LMN48" s="222"/>
      <c r="LMO48" s="223"/>
      <c r="LMP48" s="223"/>
      <c r="LMQ48" s="224"/>
      <c r="LMR48" s="223"/>
      <c r="LMS48" s="223"/>
      <c r="LMT48" s="223"/>
      <c r="LMU48" s="223"/>
      <c r="LMV48" s="225"/>
      <c r="LMW48" s="220"/>
      <c r="LMX48" s="221"/>
      <c r="LMY48" s="222"/>
      <c r="LMZ48" s="222"/>
      <c r="LNA48" s="223"/>
      <c r="LNB48" s="223"/>
      <c r="LNC48" s="224"/>
      <c r="LND48" s="223"/>
      <c r="LNE48" s="223"/>
      <c r="LNF48" s="223"/>
      <c r="LNG48" s="223"/>
      <c r="LNH48" s="225"/>
      <c r="LNI48" s="220"/>
      <c r="LNJ48" s="221"/>
      <c r="LNK48" s="222"/>
      <c r="LNL48" s="222"/>
      <c r="LNM48" s="223"/>
      <c r="LNN48" s="223"/>
      <c r="LNO48" s="224"/>
      <c r="LNP48" s="223"/>
      <c r="LNQ48" s="223"/>
      <c r="LNR48" s="223"/>
      <c r="LNS48" s="223"/>
      <c r="LNT48" s="225"/>
      <c r="LNU48" s="220"/>
      <c r="LNV48" s="221"/>
      <c r="LNW48" s="222"/>
      <c r="LNX48" s="222"/>
      <c r="LNY48" s="223"/>
      <c r="LNZ48" s="223"/>
      <c r="LOA48" s="224"/>
      <c r="LOB48" s="223"/>
      <c r="LOC48" s="223"/>
      <c r="LOD48" s="223"/>
      <c r="LOE48" s="223"/>
      <c r="LOF48" s="225"/>
      <c r="LOG48" s="220"/>
      <c r="LOH48" s="221"/>
      <c r="LOI48" s="222"/>
      <c r="LOJ48" s="222"/>
      <c r="LOK48" s="223"/>
      <c r="LOL48" s="223"/>
      <c r="LOM48" s="224"/>
      <c r="LON48" s="223"/>
      <c r="LOO48" s="223"/>
      <c r="LOP48" s="223"/>
      <c r="LOQ48" s="223"/>
      <c r="LOR48" s="225"/>
      <c r="LOS48" s="220"/>
      <c r="LOT48" s="221"/>
      <c r="LOU48" s="222"/>
      <c r="LOV48" s="222"/>
      <c r="LOW48" s="223"/>
      <c r="LOX48" s="223"/>
      <c r="LOY48" s="224"/>
      <c r="LOZ48" s="223"/>
      <c r="LPA48" s="223"/>
      <c r="LPB48" s="223"/>
      <c r="LPC48" s="223"/>
      <c r="LPD48" s="225"/>
      <c r="LPE48" s="220"/>
      <c r="LPF48" s="221"/>
      <c r="LPG48" s="222"/>
      <c r="LPH48" s="222"/>
      <c r="LPI48" s="223"/>
      <c r="LPJ48" s="223"/>
      <c r="LPK48" s="224"/>
      <c r="LPL48" s="223"/>
      <c r="LPM48" s="223"/>
      <c r="LPN48" s="223"/>
      <c r="LPO48" s="223"/>
      <c r="LPP48" s="225"/>
      <c r="LPQ48" s="220"/>
      <c r="LPR48" s="221"/>
      <c r="LPS48" s="222"/>
      <c r="LPT48" s="222"/>
      <c r="LPU48" s="223"/>
      <c r="LPV48" s="223"/>
      <c r="LPW48" s="224"/>
      <c r="LPX48" s="223"/>
      <c r="LPY48" s="223"/>
      <c r="LPZ48" s="223"/>
      <c r="LQA48" s="223"/>
      <c r="LQB48" s="225"/>
      <c r="LQC48" s="220"/>
      <c r="LQD48" s="221"/>
      <c r="LQE48" s="222"/>
      <c r="LQF48" s="222"/>
      <c r="LQG48" s="223"/>
      <c r="LQH48" s="223"/>
      <c r="LQI48" s="224"/>
      <c r="LQJ48" s="223"/>
      <c r="LQK48" s="223"/>
      <c r="LQL48" s="223"/>
      <c r="LQM48" s="223"/>
      <c r="LQN48" s="225"/>
      <c r="LQO48" s="220"/>
      <c r="LQP48" s="221"/>
      <c r="LQQ48" s="222"/>
      <c r="LQR48" s="222"/>
      <c r="LQS48" s="223"/>
      <c r="LQT48" s="223"/>
      <c r="LQU48" s="224"/>
      <c r="LQV48" s="223"/>
      <c r="LQW48" s="223"/>
      <c r="LQX48" s="223"/>
      <c r="LQY48" s="223"/>
      <c r="LQZ48" s="225"/>
      <c r="LRA48" s="220"/>
      <c r="LRB48" s="221"/>
      <c r="LRC48" s="222"/>
      <c r="LRD48" s="222"/>
      <c r="LRE48" s="223"/>
      <c r="LRF48" s="223"/>
      <c r="LRG48" s="224"/>
      <c r="LRH48" s="223"/>
      <c r="LRI48" s="223"/>
      <c r="LRJ48" s="223"/>
      <c r="LRK48" s="223"/>
      <c r="LRL48" s="225"/>
      <c r="LRM48" s="220"/>
      <c r="LRN48" s="221"/>
      <c r="LRO48" s="222"/>
      <c r="LRP48" s="222"/>
      <c r="LRQ48" s="223"/>
      <c r="LRR48" s="223"/>
      <c r="LRS48" s="224"/>
      <c r="LRT48" s="223"/>
      <c r="LRU48" s="223"/>
      <c r="LRV48" s="223"/>
      <c r="LRW48" s="223"/>
      <c r="LRX48" s="225"/>
      <c r="LRY48" s="220"/>
      <c r="LRZ48" s="221"/>
      <c r="LSA48" s="222"/>
      <c r="LSB48" s="222"/>
      <c r="LSC48" s="223"/>
      <c r="LSD48" s="223"/>
      <c r="LSE48" s="224"/>
      <c r="LSF48" s="223"/>
      <c r="LSG48" s="223"/>
      <c r="LSH48" s="223"/>
      <c r="LSI48" s="223"/>
      <c r="LSJ48" s="225"/>
      <c r="LSK48" s="220"/>
      <c r="LSL48" s="221"/>
      <c r="LSM48" s="222"/>
      <c r="LSN48" s="222"/>
      <c r="LSO48" s="223"/>
      <c r="LSP48" s="223"/>
      <c r="LSQ48" s="224"/>
      <c r="LSR48" s="223"/>
      <c r="LSS48" s="223"/>
      <c r="LST48" s="223"/>
      <c r="LSU48" s="223"/>
      <c r="LSV48" s="225"/>
      <c r="LSW48" s="220"/>
      <c r="LSX48" s="221"/>
      <c r="LSY48" s="222"/>
      <c r="LSZ48" s="222"/>
      <c r="LTA48" s="223"/>
      <c r="LTB48" s="223"/>
      <c r="LTC48" s="224"/>
      <c r="LTD48" s="223"/>
      <c r="LTE48" s="223"/>
      <c r="LTF48" s="223"/>
      <c r="LTG48" s="223"/>
      <c r="LTH48" s="225"/>
      <c r="LTI48" s="220"/>
      <c r="LTJ48" s="221"/>
      <c r="LTK48" s="222"/>
      <c r="LTL48" s="222"/>
      <c r="LTM48" s="223"/>
      <c r="LTN48" s="223"/>
      <c r="LTO48" s="224"/>
      <c r="LTP48" s="223"/>
      <c r="LTQ48" s="223"/>
      <c r="LTR48" s="223"/>
      <c r="LTS48" s="223"/>
      <c r="LTT48" s="225"/>
      <c r="LTU48" s="220"/>
      <c r="LTV48" s="221"/>
      <c r="LTW48" s="222"/>
      <c r="LTX48" s="222"/>
      <c r="LTY48" s="223"/>
      <c r="LTZ48" s="223"/>
      <c r="LUA48" s="224"/>
      <c r="LUB48" s="223"/>
      <c r="LUC48" s="223"/>
      <c r="LUD48" s="223"/>
      <c r="LUE48" s="223"/>
      <c r="LUF48" s="225"/>
      <c r="LUG48" s="220"/>
      <c r="LUH48" s="221"/>
      <c r="LUI48" s="222"/>
      <c r="LUJ48" s="222"/>
      <c r="LUK48" s="223"/>
      <c r="LUL48" s="223"/>
      <c r="LUM48" s="224"/>
      <c r="LUN48" s="223"/>
      <c r="LUO48" s="223"/>
      <c r="LUP48" s="223"/>
      <c r="LUQ48" s="223"/>
      <c r="LUR48" s="225"/>
      <c r="LUS48" s="220"/>
      <c r="LUT48" s="221"/>
      <c r="LUU48" s="222"/>
      <c r="LUV48" s="222"/>
      <c r="LUW48" s="223"/>
      <c r="LUX48" s="223"/>
      <c r="LUY48" s="224"/>
      <c r="LUZ48" s="223"/>
      <c r="LVA48" s="223"/>
      <c r="LVB48" s="223"/>
      <c r="LVC48" s="223"/>
      <c r="LVD48" s="225"/>
      <c r="LVE48" s="220"/>
      <c r="LVF48" s="221"/>
      <c r="LVG48" s="222"/>
      <c r="LVH48" s="222"/>
      <c r="LVI48" s="223"/>
      <c r="LVJ48" s="223"/>
      <c r="LVK48" s="224"/>
      <c r="LVL48" s="223"/>
      <c r="LVM48" s="223"/>
      <c r="LVN48" s="223"/>
      <c r="LVO48" s="223"/>
      <c r="LVP48" s="225"/>
      <c r="LVQ48" s="220"/>
      <c r="LVR48" s="221"/>
      <c r="LVS48" s="222"/>
      <c r="LVT48" s="222"/>
      <c r="LVU48" s="223"/>
      <c r="LVV48" s="223"/>
      <c r="LVW48" s="224"/>
      <c r="LVX48" s="223"/>
      <c r="LVY48" s="223"/>
      <c r="LVZ48" s="223"/>
      <c r="LWA48" s="223"/>
      <c r="LWB48" s="225"/>
      <c r="LWC48" s="220"/>
      <c r="LWD48" s="221"/>
      <c r="LWE48" s="222"/>
      <c r="LWF48" s="222"/>
      <c r="LWG48" s="223"/>
      <c r="LWH48" s="223"/>
      <c r="LWI48" s="224"/>
      <c r="LWJ48" s="223"/>
      <c r="LWK48" s="223"/>
      <c r="LWL48" s="223"/>
      <c r="LWM48" s="223"/>
      <c r="LWN48" s="225"/>
      <c r="LWO48" s="220"/>
      <c r="LWP48" s="221"/>
      <c r="LWQ48" s="222"/>
      <c r="LWR48" s="222"/>
      <c r="LWS48" s="223"/>
      <c r="LWT48" s="223"/>
      <c r="LWU48" s="224"/>
      <c r="LWV48" s="223"/>
      <c r="LWW48" s="223"/>
      <c r="LWX48" s="223"/>
      <c r="LWY48" s="223"/>
      <c r="LWZ48" s="225"/>
      <c r="LXA48" s="220"/>
      <c r="LXB48" s="221"/>
      <c r="LXC48" s="222"/>
      <c r="LXD48" s="222"/>
      <c r="LXE48" s="223"/>
      <c r="LXF48" s="223"/>
      <c r="LXG48" s="224"/>
      <c r="LXH48" s="223"/>
      <c r="LXI48" s="223"/>
      <c r="LXJ48" s="223"/>
      <c r="LXK48" s="223"/>
      <c r="LXL48" s="225"/>
      <c r="LXM48" s="220"/>
      <c r="LXN48" s="221"/>
      <c r="LXO48" s="222"/>
      <c r="LXP48" s="222"/>
      <c r="LXQ48" s="223"/>
      <c r="LXR48" s="223"/>
      <c r="LXS48" s="224"/>
      <c r="LXT48" s="223"/>
      <c r="LXU48" s="223"/>
      <c r="LXV48" s="223"/>
      <c r="LXW48" s="223"/>
      <c r="LXX48" s="225"/>
      <c r="LXY48" s="220"/>
      <c r="LXZ48" s="221"/>
      <c r="LYA48" s="222"/>
      <c r="LYB48" s="222"/>
      <c r="LYC48" s="223"/>
      <c r="LYD48" s="223"/>
      <c r="LYE48" s="224"/>
      <c r="LYF48" s="223"/>
      <c r="LYG48" s="223"/>
      <c r="LYH48" s="223"/>
      <c r="LYI48" s="223"/>
      <c r="LYJ48" s="225"/>
      <c r="LYK48" s="220"/>
      <c r="LYL48" s="221"/>
      <c r="LYM48" s="222"/>
      <c r="LYN48" s="222"/>
      <c r="LYO48" s="223"/>
      <c r="LYP48" s="223"/>
      <c r="LYQ48" s="224"/>
      <c r="LYR48" s="223"/>
      <c r="LYS48" s="223"/>
      <c r="LYT48" s="223"/>
      <c r="LYU48" s="223"/>
      <c r="LYV48" s="225"/>
      <c r="LYW48" s="220"/>
      <c r="LYX48" s="221"/>
      <c r="LYY48" s="222"/>
      <c r="LYZ48" s="222"/>
      <c r="LZA48" s="223"/>
      <c r="LZB48" s="223"/>
      <c r="LZC48" s="224"/>
      <c r="LZD48" s="223"/>
      <c r="LZE48" s="223"/>
      <c r="LZF48" s="223"/>
      <c r="LZG48" s="223"/>
      <c r="LZH48" s="225"/>
      <c r="LZI48" s="220"/>
      <c r="LZJ48" s="221"/>
      <c r="LZK48" s="222"/>
      <c r="LZL48" s="222"/>
      <c r="LZM48" s="223"/>
      <c r="LZN48" s="223"/>
      <c r="LZO48" s="224"/>
      <c r="LZP48" s="223"/>
      <c r="LZQ48" s="223"/>
      <c r="LZR48" s="223"/>
      <c r="LZS48" s="223"/>
      <c r="LZT48" s="225"/>
      <c r="LZU48" s="220"/>
      <c r="LZV48" s="221"/>
      <c r="LZW48" s="222"/>
      <c r="LZX48" s="222"/>
      <c r="LZY48" s="223"/>
      <c r="LZZ48" s="223"/>
      <c r="MAA48" s="224"/>
      <c r="MAB48" s="223"/>
      <c r="MAC48" s="223"/>
      <c r="MAD48" s="223"/>
      <c r="MAE48" s="223"/>
      <c r="MAF48" s="225"/>
      <c r="MAG48" s="220"/>
      <c r="MAH48" s="221"/>
      <c r="MAI48" s="222"/>
      <c r="MAJ48" s="222"/>
      <c r="MAK48" s="223"/>
      <c r="MAL48" s="223"/>
      <c r="MAM48" s="224"/>
      <c r="MAN48" s="223"/>
      <c r="MAO48" s="223"/>
      <c r="MAP48" s="223"/>
      <c r="MAQ48" s="223"/>
      <c r="MAR48" s="225"/>
      <c r="MAS48" s="220"/>
      <c r="MAT48" s="221"/>
      <c r="MAU48" s="222"/>
      <c r="MAV48" s="222"/>
      <c r="MAW48" s="223"/>
      <c r="MAX48" s="223"/>
      <c r="MAY48" s="224"/>
      <c r="MAZ48" s="223"/>
      <c r="MBA48" s="223"/>
      <c r="MBB48" s="223"/>
      <c r="MBC48" s="223"/>
      <c r="MBD48" s="225"/>
      <c r="MBE48" s="220"/>
      <c r="MBF48" s="221"/>
      <c r="MBG48" s="222"/>
      <c r="MBH48" s="222"/>
      <c r="MBI48" s="223"/>
      <c r="MBJ48" s="223"/>
      <c r="MBK48" s="224"/>
      <c r="MBL48" s="223"/>
      <c r="MBM48" s="223"/>
      <c r="MBN48" s="223"/>
      <c r="MBO48" s="223"/>
      <c r="MBP48" s="225"/>
      <c r="MBQ48" s="220"/>
      <c r="MBR48" s="221"/>
      <c r="MBS48" s="222"/>
      <c r="MBT48" s="222"/>
      <c r="MBU48" s="223"/>
      <c r="MBV48" s="223"/>
      <c r="MBW48" s="224"/>
      <c r="MBX48" s="223"/>
      <c r="MBY48" s="223"/>
      <c r="MBZ48" s="223"/>
      <c r="MCA48" s="223"/>
      <c r="MCB48" s="225"/>
      <c r="MCC48" s="220"/>
      <c r="MCD48" s="221"/>
      <c r="MCE48" s="222"/>
      <c r="MCF48" s="222"/>
      <c r="MCG48" s="223"/>
      <c r="MCH48" s="223"/>
      <c r="MCI48" s="224"/>
      <c r="MCJ48" s="223"/>
      <c r="MCK48" s="223"/>
      <c r="MCL48" s="223"/>
      <c r="MCM48" s="223"/>
      <c r="MCN48" s="225"/>
      <c r="MCO48" s="220"/>
      <c r="MCP48" s="221"/>
      <c r="MCQ48" s="222"/>
      <c r="MCR48" s="222"/>
      <c r="MCS48" s="223"/>
      <c r="MCT48" s="223"/>
      <c r="MCU48" s="224"/>
      <c r="MCV48" s="223"/>
      <c r="MCW48" s="223"/>
      <c r="MCX48" s="223"/>
      <c r="MCY48" s="223"/>
      <c r="MCZ48" s="225"/>
      <c r="MDA48" s="220"/>
      <c r="MDB48" s="221"/>
      <c r="MDC48" s="222"/>
      <c r="MDD48" s="222"/>
      <c r="MDE48" s="223"/>
      <c r="MDF48" s="223"/>
      <c r="MDG48" s="224"/>
      <c r="MDH48" s="223"/>
      <c r="MDI48" s="223"/>
      <c r="MDJ48" s="223"/>
      <c r="MDK48" s="223"/>
      <c r="MDL48" s="225"/>
      <c r="MDM48" s="220"/>
      <c r="MDN48" s="221"/>
      <c r="MDO48" s="222"/>
      <c r="MDP48" s="222"/>
      <c r="MDQ48" s="223"/>
      <c r="MDR48" s="223"/>
      <c r="MDS48" s="224"/>
      <c r="MDT48" s="223"/>
      <c r="MDU48" s="223"/>
      <c r="MDV48" s="223"/>
      <c r="MDW48" s="223"/>
      <c r="MDX48" s="225"/>
      <c r="MDY48" s="220"/>
      <c r="MDZ48" s="221"/>
      <c r="MEA48" s="222"/>
      <c r="MEB48" s="222"/>
      <c r="MEC48" s="223"/>
      <c r="MED48" s="223"/>
      <c r="MEE48" s="224"/>
      <c r="MEF48" s="223"/>
      <c r="MEG48" s="223"/>
      <c r="MEH48" s="223"/>
      <c r="MEI48" s="223"/>
      <c r="MEJ48" s="225"/>
      <c r="MEK48" s="220"/>
      <c r="MEL48" s="221"/>
      <c r="MEM48" s="222"/>
      <c r="MEN48" s="222"/>
      <c r="MEO48" s="223"/>
      <c r="MEP48" s="223"/>
      <c r="MEQ48" s="224"/>
      <c r="MER48" s="223"/>
      <c r="MES48" s="223"/>
      <c r="MET48" s="223"/>
      <c r="MEU48" s="223"/>
      <c r="MEV48" s="225"/>
      <c r="MEW48" s="220"/>
      <c r="MEX48" s="221"/>
      <c r="MEY48" s="222"/>
      <c r="MEZ48" s="222"/>
      <c r="MFA48" s="223"/>
      <c r="MFB48" s="223"/>
      <c r="MFC48" s="224"/>
      <c r="MFD48" s="223"/>
      <c r="MFE48" s="223"/>
      <c r="MFF48" s="223"/>
      <c r="MFG48" s="223"/>
      <c r="MFH48" s="225"/>
      <c r="MFI48" s="220"/>
      <c r="MFJ48" s="221"/>
      <c r="MFK48" s="222"/>
      <c r="MFL48" s="222"/>
      <c r="MFM48" s="223"/>
      <c r="MFN48" s="223"/>
      <c r="MFO48" s="224"/>
      <c r="MFP48" s="223"/>
      <c r="MFQ48" s="223"/>
      <c r="MFR48" s="223"/>
      <c r="MFS48" s="223"/>
      <c r="MFT48" s="225"/>
      <c r="MFU48" s="220"/>
      <c r="MFV48" s="221"/>
      <c r="MFW48" s="222"/>
      <c r="MFX48" s="222"/>
      <c r="MFY48" s="223"/>
      <c r="MFZ48" s="223"/>
      <c r="MGA48" s="224"/>
      <c r="MGB48" s="223"/>
      <c r="MGC48" s="223"/>
      <c r="MGD48" s="223"/>
      <c r="MGE48" s="223"/>
      <c r="MGF48" s="225"/>
      <c r="MGG48" s="220"/>
      <c r="MGH48" s="221"/>
      <c r="MGI48" s="222"/>
      <c r="MGJ48" s="222"/>
      <c r="MGK48" s="223"/>
      <c r="MGL48" s="223"/>
      <c r="MGM48" s="224"/>
      <c r="MGN48" s="223"/>
      <c r="MGO48" s="223"/>
      <c r="MGP48" s="223"/>
      <c r="MGQ48" s="223"/>
      <c r="MGR48" s="225"/>
      <c r="MGS48" s="220"/>
      <c r="MGT48" s="221"/>
      <c r="MGU48" s="222"/>
      <c r="MGV48" s="222"/>
      <c r="MGW48" s="223"/>
      <c r="MGX48" s="223"/>
      <c r="MGY48" s="224"/>
      <c r="MGZ48" s="223"/>
      <c r="MHA48" s="223"/>
      <c r="MHB48" s="223"/>
      <c r="MHC48" s="223"/>
      <c r="MHD48" s="225"/>
      <c r="MHE48" s="220"/>
      <c r="MHF48" s="221"/>
      <c r="MHG48" s="222"/>
      <c r="MHH48" s="222"/>
      <c r="MHI48" s="223"/>
      <c r="MHJ48" s="223"/>
      <c r="MHK48" s="224"/>
      <c r="MHL48" s="223"/>
      <c r="MHM48" s="223"/>
      <c r="MHN48" s="223"/>
      <c r="MHO48" s="223"/>
      <c r="MHP48" s="225"/>
      <c r="MHQ48" s="220"/>
      <c r="MHR48" s="221"/>
      <c r="MHS48" s="222"/>
      <c r="MHT48" s="222"/>
      <c r="MHU48" s="223"/>
      <c r="MHV48" s="223"/>
      <c r="MHW48" s="224"/>
      <c r="MHX48" s="223"/>
      <c r="MHY48" s="223"/>
      <c r="MHZ48" s="223"/>
      <c r="MIA48" s="223"/>
      <c r="MIB48" s="225"/>
      <c r="MIC48" s="220"/>
      <c r="MID48" s="221"/>
      <c r="MIE48" s="222"/>
      <c r="MIF48" s="222"/>
      <c r="MIG48" s="223"/>
      <c r="MIH48" s="223"/>
      <c r="MII48" s="224"/>
      <c r="MIJ48" s="223"/>
      <c r="MIK48" s="223"/>
      <c r="MIL48" s="223"/>
      <c r="MIM48" s="223"/>
      <c r="MIN48" s="225"/>
      <c r="MIO48" s="220"/>
      <c r="MIP48" s="221"/>
      <c r="MIQ48" s="222"/>
      <c r="MIR48" s="222"/>
      <c r="MIS48" s="223"/>
      <c r="MIT48" s="223"/>
      <c r="MIU48" s="224"/>
      <c r="MIV48" s="223"/>
      <c r="MIW48" s="223"/>
      <c r="MIX48" s="223"/>
      <c r="MIY48" s="223"/>
      <c r="MIZ48" s="225"/>
      <c r="MJA48" s="220"/>
      <c r="MJB48" s="221"/>
      <c r="MJC48" s="222"/>
      <c r="MJD48" s="222"/>
      <c r="MJE48" s="223"/>
      <c r="MJF48" s="223"/>
      <c r="MJG48" s="224"/>
      <c r="MJH48" s="223"/>
      <c r="MJI48" s="223"/>
      <c r="MJJ48" s="223"/>
      <c r="MJK48" s="223"/>
      <c r="MJL48" s="225"/>
      <c r="MJM48" s="220"/>
      <c r="MJN48" s="221"/>
      <c r="MJO48" s="222"/>
      <c r="MJP48" s="222"/>
      <c r="MJQ48" s="223"/>
      <c r="MJR48" s="223"/>
      <c r="MJS48" s="224"/>
      <c r="MJT48" s="223"/>
      <c r="MJU48" s="223"/>
      <c r="MJV48" s="223"/>
      <c r="MJW48" s="223"/>
      <c r="MJX48" s="225"/>
      <c r="MJY48" s="220"/>
      <c r="MJZ48" s="221"/>
      <c r="MKA48" s="222"/>
      <c r="MKB48" s="222"/>
      <c r="MKC48" s="223"/>
      <c r="MKD48" s="223"/>
      <c r="MKE48" s="224"/>
      <c r="MKF48" s="223"/>
      <c r="MKG48" s="223"/>
      <c r="MKH48" s="223"/>
      <c r="MKI48" s="223"/>
      <c r="MKJ48" s="225"/>
      <c r="MKK48" s="220"/>
      <c r="MKL48" s="221"/>
      <c r="MKM48" s="222"/>
      <c r="MKN48" s="222"/>
      <c r="MKO48" s="223"/>
      <c r="MKP48" s="223"/>
      <c r="MKQ48" s="224"/>
      <c r="MKR48" s="223"/>
      <c r="MKS48" s="223"/>
      <c r="MKT48" s="223"/>
      <c r="MKU48" s="223"/>
      <c r="MKV48" s="225"/>
      <c r="MKW48" s="220"/>
      <c r="MKX48" s="221"/>
      <c r="MKY48" s="222"/>
      <c r="MKZ48" s="222"/>
      <c r="MLA48" s="223"/>
      <c r="MLB48" s="223"/>
      <c r="MLC48" s="224"/>
      <c r="MLD48" s="223"/>
      <c r="MLE48" s="223"/>
      <c r="MLF48" s="223"/>
      <c r="MLG48" s="223"/>
      <c r="MLH48" s="225"/>
      <c r="MLI48" s="220"/>
      <c r="MLJ48" s="221"/>
      <c r="MLK48" s="222"/>
      <c r="MLL48" s="222"/>
      <c r="MLM48" s="223"/>
      <c r="MLN48" s="223"/>
      <c r="MLO48" s="224"/>
      <c r="MLP48" s="223"/>
      <c r="MLQ48" s="223"/>
      <c r="MLR48" s="223"/>
      <c r="MLS48" s="223"/>
      <c r="MLT48" s="225"/>
      <c r="MLU48" s="220"/>
      <c r="MLV48" s="221"/>
      <c r="MLW48" s="222"/>
      <c r="MLX48" s="222"/>
      <c r="MLY48" s="223"/>
      <c r="MLZ48" s="223"/>
      <c r="MMA48" s="224"/>
      <c r="MMB48" s="223"/>
      <c r="MMC48" s="223"/>
      <c r="MMD48" s="223"/>
      <c r="MME48" s="223"/>
      <c r="MMF48" s="225"/>
      <c r="MMG48" s="220"/>
      <c r="MMH48" s="221"/>
      <c r="MMI48" s="222"/>
      <c r="MMJ48" s="222"/>
      <c r="MMK48" s="223"/>
      <c r="MML48" s="223"/>
      <c r="MMM48" s="224"/>
      <c r="MMN48" s="223"/>
      <c r="MMO48" s="223"/>
      <c r="MMP48" s="223"/>
      <c r="MMQ48" s="223"/>
      <c r="MMR48" s="225"/>
      <c r="MMS48" s="220"/>
      <c r="MMT48" s="221"/>
      <c r="MMU48" s="222"/>
      <c r="MMV48" s="222"/>
      <c r="MMW48" s="223"/>
      <c r="MMX48" s="223"/>
      <c r="MMY48" s="224"/>
      <c r="MMZ48" s="223"/>
      <c r="MNA48" s="223"/>
      <c r="MNB48" s="223"/>
      <c r="MNC48" s="223"/>
      <c r="MND48" s="225"/>
      <c r="MNE48" s="220"/>
      <c r="MNF48" s="221"/>
      <c r="MNG48" s="222"/>
      <c r="MNH48" s="222"/>
      <c r="MNI48" s="223"/>
      <c r="MNJ48" s="223"/>
      <c r="MNK48" s="224"/>
      <c r="MNL48" s="223"/>
      <c r="MNM48" s="223"/>
      <c r="MNN48" s="223"/>
      <c r="MNO48" s="223"/>
      <c r="MNP48" s="225"/>
      <c r="MNQ48" s="220"/>
      <c r="MNR48" s="221"/>
      <c r="MNS48" s="222"/>
      <c r="MNT48" s="222"/>
      <c r="MNU48" s="223"/>
      <c r="MNV48" s="223"/>
      <c r="MNW48" s="224"/>
      <c r="MNX48" s="223"/>
      <c r="MNY48" s="223"/>
      <c r="MNZ48" s="223"/>
      <c r="MOA48" s="223"/>
      <c r="MOB48" s="225"/>
      <c r="MOC48" s="220"/>
      <c r="MOD48" s="221"/>
      <c r="MOE48" s="222"/>
      <c r="MOF48" s="222"/>
      <c r="MOG48" s="223"/>
      <c r="MOH48" s="223"/>
      <c r="MOI48" s="224"/>
      <c r="MOJ48" s="223"/>
      <c r="MOK48" s="223"/>
      <c r="MOL48" s="223"/>
      <c r="MOM48" s="223"/>
      <c r="MON48" s="225"/>
      <c r="MOO48" s="220"/>
      <c r="MOP48" s="221"/>
      <c r="MOQ48" s="222"/>
      <c r="MOR48" s="222"/>
      <c r="MOS48" s="223"/>
      <c r="MOT48" s="223"/>
      <c r="MOU48" s="224"/>
      <c r="MOV48" s="223"/>
      <c r="MOW48" s="223"/>
      <c r="MOX48" s="223"/>
      <c r="MOY48" s="223"/>
      <c r="MOZ48" s="225"/>
      <c r="MPA48" s="220"/>
      <c r="MPB48" s="221"/>
      <c r="MPC48" s="222"/>
      <c r="MPD48" s="222"/>
      <c r="MPE48" s="223"/>
      <c r="MPF48" s="223"/>
      <c r="MPG48" s="224"/>
      <c r="MPH48" s="223"/>
      <c r="MPI48" s="223"/>
      <c r="MPJ48" s="223"/>
      <c r="MPK48" s="223"/>
      <c r="MPL48" s="225"/>
      <c r="MPM48" s="220"/>
      <c r="MPN48" s="221"/>
      <c r="MPO48" s="222"/>
      <c r="MPP48" s="222"/>
      <c r="MPQ48" s="223"/>
      <c r="MPR48" s="223"/>
      <c r="MPS48" s="224"/>
      <c r="MPT48" s="223"/>
      <c r="MPU48" s="223"/>
      <c r="MPV48" s="223"/>
      <c r="MPW48" s="223"/>
      <c r="MPX48" s="225"/>
      <c r="MPY48" s="220"/>
      <c r="MPZ48" s="221"/>
      <c r="MQA48" s="222"/>
      <c r="MQB48" s="222"/>
      <c r="MQC48" s="223"/>
      <c r="MQD48" s="223"/>
      <c r="MQE48" s="224"/>
      <c r="MQF48" s="223"/>
      <c r="MQG48" s="223"/>
      <c r="MQH48" s="223"/>
      <c r="MQI48" s="223"/>
      <c r="MQJ48" s="225"/>
      <c r="MQK48" s="220"/>
      <c r="MQL48" s="221"/>
      <c r="MQM48" s="222"/>
      <c r="MQN48" s="222"/>
      <c r="MQO48" s="223"/>
      <c r="MQP48" s="223"/>
      <c r="MQQ48" s="224"/>
      <c r="MQR48" s="223"/>
      <c r="MQS48" s="223"/>
      <c r="MQT48" s="223"/>
      <c r="MQU48" s="223"/>
      <c r="MQV48" s="225"/>
      <c r="MQW48" s="220"/>
      <c r="MQX48" s="221"/>
      <c r="MQY48" s="222"/>
      <c r="MQZ48" s="222"/>
      <c r="MRA48" s="223"/>
      <c r="MRB48" s="223"/>
      <c r="MRC48" s="224"/>
      <c r="MRD48" s="223"/>
      <c r="MRE48" s="223"/>
      <c r="MRF48" s="223"/>
      <c r="MRG48" s="223"/>
      <c r="MRH48" s="225"/>
      <c r="MRI48" s="220"/>
      <c r="MRJ48" s="221"/>
      <c r="MRK48" s="222"/>
      <c r="MRL48" s="222"/>
      <c r="MRM48" s="223"/>
      <c r="MRN48" s="223"/>
      <c r="MRO48" s="224"/>
      <c r="MRP48" s="223"/>
      <c r="MRQ48" s="223"/>
      <c r="MRR48" s="223"/>
      <c r="MRS48" s="223"/>
      <c r="MRT48" s="225"/>
      <c r="MRU48" s="220"/>
      <c r="MRV48" s="221"/>
      <c r="MRW48" s="222"/>
      <c r="MRX48" s="222"/>
      <c r="MRY48" s="223"/>
      <c r="MRZ48" s="223"/>
      <c r="MSA48" s="224"/>
      <c r="MSB48" s="223"/>
      <c r="MSC48" s="223"/>
      <c r="MSD48" s="223"/>
      <c r="MSE48" s="223"/>
      <c r="MSF48" s="225"/>
      <c r="MSG48" s="220"/>
      <c r="MSH48" s="221"/>
      <c r="MSI48" s="222"/>
      <c r="MSJ48" s="222"/>
      <c r="MSK48" s="223"/>
      <c r="MSL48" s="223"/>
      <c r="MSM48" s="224"/>
      <c r="MSN48" s="223"/>
      <c r="MSO48" s="223"/>
      <c r="MSP48" s="223"/>
      <c r="MSQ48" s="223"/>
      <c r="MSR48" s="225"/>
      <c r="MSS48" s="220"/>
      <c r="MST48" s="221"/>
      <c r="MSU48" s="222"/>
      <c r="MSV48" s="222"/>
      <c r="MSW48" s="223"/>
      <c r="MSX48" s="223"/>
      <c r="MSY48" s="224"/>
      <c r="MSZ48" s="223"/>
      <c r="MTA48" s="223"/>
      <c r="MTB48" s="223"/>
      <c r="MTC48" s="223"/>
      <c r="MTD48" s="225"/>
      <c r="MTE48" s="220"/>
      <c r="MTF48" s="221"/>
      <c r="MTG48" s="222"/>
      <c r="MTH48" s="222"/>
      <c r="MTI48" s="223"/>
      <c r="MTJ48" s="223"/>
      <c r="MTK48" s="224"/>
      <c r="MTL48" s="223"/>
      <c r="MTM48" s="223"/>
      <c r="MTN48" s="223"/>
      <c r="MTO48" s="223"/>
      <c r="MTP48" s="225"/>
      <c r="MTQ48" s="220"/>
      <c r="MTR48" s="221"/>
      <c r="MTS48" s="222"/>
      <c r="MTT48" s="222"/>
      <c r="MTU48" s="223"/>
      <c r="MTV48" s="223"/>
      <c r="MTW48" s="224"/>
      <c r="MTX48" s="223"/>
      <c r="MTY48" s="223"/>
      <c r="MTZ48" s="223"/>
      <c r="MUA48" s="223"/>
      <c r="MUB48" s="225"/>
      <c r="MUC48" s="220"/>
      <c r="MUD48" s="221"/>
      <c r="MUE48" s="222"/>
      <c r="MUF48" s="222"/>
      <c r="MUG48" s="223"/>
      <c r="MUH48" s="223"/>
      <c r="MUI48" s="224"/>
      <c r="MUJ48" s="223"/>
      <c r="MUK48" s="223"/>
      <c r="MUL48" s="223"/>
      <c r="MUM48" s="223"/>
      <c r="MUN48" s="225"/>
      <c r="MUO48" s="220"/>
      <c r="MUP48" s="221"/>
      <c r="MUQ48" s="222"/>
      <c r="MUR48" s="222"/>
      <c r="MUS48" s="223"/>
      <c r="MUT48" s="223"/>
      <c r="MUU48" s="224"/>
      <c r="MUV48" s="223"/>
      <c r="MUW48" s="223"/>
      <c r="MUX48" s="223"/>
      <c r="MUY48" s="223"/>
      <c r="MUZ48" s="225"/>
      <c r="MVA48" s="220"/>
      <c r="MVB48" s="221"/>
      <c r="MVC48" s="222"/>
      <c r="MVD48" s="222"/>
      <c r="MVE48" s="223"/>
      <c r="MVF48" s="223"/>
      <c r="MVG48" s="224"/>
      <c r="MVH48" s="223"/>
      <c r="MVI48" s="223"/>
      <c r="MVJ48" s="223"/>
      <c r="MVK48" s="223"/>
      <c r="MVL48" s="225"/>
      <c r="MVM48" s="220"/>
      <c r="MVN48" s="221"/>
      <c r="MVO48" s="222"/>
      <c r="MVP48" s="222"/>
      <c r="MVQ48" s="223"/>
      <c r="MVR48" s="223"/>
      <c r="MVS48" s="224"/>
      <c r="MVT48" s="223"/>
      <c r="MVU48" s="223"/>
      <c r="MVV48" s="223"/>
      <c r="MVW48" s="223"/>
      <c r="MVX48" s="225"/>
      <c r="MVY48" s="220"/>
      <c r="MVZ48" s="221"/>
      <c r="MWA48" s="222"/>
      <c r="MWB48" s="222"/>
      <c r="MWC48" s="223"/>
      <c r="MWD48" s="223"/>
      <c r="MWE48" s="224"/>
      <c r="MWF48" s="223"/>
      <c r="MWG48" s="223"/>
      <c r="MWH48" s="223"/>
      <c r="MWI48" s="223"/>
      <c r="MWJ48" s="225"/>
      <c r="MWK48" s="220"/>
      <c r="MWL48" s="221"/>
      <c r="MWM48" s="222"/>
      <c r="MWN48" s="222"/>
      <c r="MWO48" s="223"/>
      <c r="MWP48" s="223"/>
      <c r="MWQ48" s="224"/>
      <c r="MWR48" s="223"/>
      <c r="MWS48" s="223"/>
      <c r="MWT48" s="223"/>
      <c r="MWU48" s="223"/>
      <c r="MWV48" s="225"/>
      <c r="MWW48" s="220"/>
      <c r="MWX48" s="221"/>
      <c r="MWY48" s="222"/>
      <c r="MWZ48" s="222"/>
      <c r="MXA48" s="223"/>
      <c r="MXB48" s="223"/>
      <c r="MXC48" s="224"/>
      <c r="MXD48" s="223"/>
      <c r="MXE48" s="223"/>
      <c r="MXF48" s="223"/>
      <c r="MXG48" s="223"/>
      <c r="MXH48" s="225"/>
      <c r="MXI48" s="220"/>
      <c r="MXJ48" s="221"/>
      <c r="MXK48" s="222"/>
      <c r="MXL48" s="222"/>
      <c r="MXM48" s="223"/>
      <c r="MXN48" s="223"/>
      <c r="MXO48" s="224"/>
      <c r="MXP48" s="223"/>
      <c r="MXQ48" s="223"/>
      <c r="MXR48" s="223"/>
      <c r="MXS48" s="223"/>
      <c r="MXT48" s="225"/>
      <c r="MXU48" s="220"/>
      <c r="MXV48" s="221"/>
      <c r="MXW48" s="222"/>
      <c r="MXX48" s="222"/>
      <c r="MXY48" s="223"/>
      <c r="MXZ48" s="223"/>
      <c r="MYA48" s="224"/>
      <c r="MYB48" s="223"/>
      <c r="MYC48" s="223"/>
      <c r="MYD48" s="223"/>
      <c r="MYE48" s="223"/>
      <c r="MYF48" s="225"/>
      <c r="MYG48" s="220"/>
      <c r="MYH48" s="221"/>
      <c r="MYI48" s="222"/>
      <c r="MYJ48" s="222"/>
      <c r="MYK48" s="223"/>
      <c r="MYL48" s="223"/>
      <c r="MYM48" s="224"/>
      <c r="MYN48" s="223"/>
      <c r="MYO48" s="223"/>
      <c r="MYP48" s="223"/>
      <c r="MYQ48" s="223"/>
      <c r="MYR48" s="225"/>
      <c r="MYS48" s="220"/>
      <c r="MYT48" s="221"/>
      <c r="MYU48" s="222"/>
      <c r="MYV48" s="222"/>
      <c r="MYW48" s="223"/>
      <c r="MYX48" s="223"/>
      <c r="MYY48" s="224"/>
      <c r="MYZ48" s="223"/>
      <c r="MZA48" s="223"/>
      <c r="MZB48" s="223"/>
      <c r="MZC48" s="223"/>
      <c r="MZD48" s="225"/>
      <c r="MZE48" s="220"/>
      <c r="MZF48" s="221"/>
      <c r="MZG48" s="222"/>
      <c r="MZH48" s="222"/>
      <c r="MZI48" s="223"/>
      <c r="MZJ48" s="223"/>
      <c r="MZK48" s="224"/>
      <c r="MZL48" s="223"/>
      <c r="MZM48" s="223"/>
      <c r="MZN48" s="223"/>
      <c r="MZO48" s="223"/>
      <c r="MZP48" s="225"/>
      <c r="MZQ48" s="220"/>
      <c r="MZR48" s="221"/>
      <c r="MZS48" s="222"/>
      <c r="MZT48" s="222"/>
      <c r="MZU48" s="223"/>
      <c r="MZV48" s="223"/>
      <c r="MZW48" s="224"/>
      <c r="MZX48" s="223"/>
      <c r="MZY48" s="223"/>
      <c r="MZZ48" s="223"/>
      <c r="NAA48" s="223"/>
      <c r="NAB48" s="225"/>
      <c r="NAC48" s="220"/>
      <c r="NAD48" s="221"/>
      <c r="NAE48" s="222"/>
      <c r="NAF48" s="222"/>
      <c r="NAG48" s="223"/>
      <c r="NAH48" s="223"/>
      <c r="NAI48" s="224"/>
      <c r="NAJ48" s="223"/>
      <c r="NAK48" s="223"/>
      <c r="NAL48" s="223"/>
      <c r="NAM48" s="223"/>
      <c r="NAN48" s="225"/>
      <c r="NAO48" s="220"/>
      <c r="NAP48" s="221"/>
      <c r="NAQ48" s="222"/>
      <c r="NAR48" s="222"/>
      <c r="NAS48" s="223"/>
      <c r="NAT48" s="223"/>
      <c r="NAU48" s="224"/>
      <c r="NAV48" s="223"/>
      <c r="NAW48" s="223"/>
      <c r="NAX48" s="223"/>
      <c r="NAY48" s="223"/>
      <c r="NAZ48" s="225"/>
      <c r="NBA48" s="220"/>
      <c r="NBB48" s="221"/>
      <c r="NBC48" s="222"/>
      <c r="NBD48" s="222"/>
      <c r="NBE48" s="223"/>
      <c r="NBF48" s="223"/>
      <c r="NBG48" s="224"/>
      <c r="NBH48" s="223"/>
      <c r="NBI48" s="223"/>
      <c r="NBJ48" s="223"/>
      <c r="NBK48" s="223"/>
      <c r="NBL48" s="225"/>
      <c r="NBM48" s="220"/>
      <c r="NBN48" s="221"/>
      <c r="NBO48" s="222"/>
      <c r="NBP48" s="222"/>
      <c r="NBQ48" s="223"/>
      <c r="NBR48" s="223"/>
      <c r="NBS48" s="224"/>
      <c r="NBT48" s="223"/>
      <c r="NBU48" s="223"/>
      <c r="NBV48" s="223"/>
      <c r="NBW48" s="223"/>
      <c r="NBX48" s="225"/>
      <c r="NBY48" s="220"/>
      <c r="NBZ48" s="221"/>
      <c r="NCA48" s="222"/>
      <c r="NCB48" s="222"/>
      <c r="NCC48" s="223"/>
      <c r="NCD48" s="223"/>
      <c r="NCE48" s="224"/>
      <c r="NCF48" s="223"/>
      <c r="NCG48" s="223"/>
      <c r="NCH48" s="223"/>
      <c r="NCI48" s="223"/>
      <c r="NCJ48" s="225"/>
      <c r="NCK48" s="220"/>
      <c r="NCL48" s="221"/>
      <c r="NCM48" s="222"/>
      <c r="NCN48" s="222"/>
      <c r="NCO48" s="223"/>
      <c r="NCP48" s="223"/>
      <c r="NCQ48" s="224"/>
      <c r="NCR48" s="223"/>
      <c r="NCS48" s="223"/>
      <c r="NCT48" s="223"/>
      <c r="NCU48" s="223"/>
      <c r="NCV48" s="225"/>
      <c r="NCW48" s="220"/>
      <c r="NCX48" s="221"/>
      <c r="NCY48" s="222"/>
      <c r="NCZ48" s="222"/>
      <c r="NDA48" s="223"/>
      <c r="NDB48" s="223"/>
      <c r="NDC48" s="224"/>
      <c r="NDD48" s="223"/>
      <c r="NDE48" s="223"/>
      <c r="NDF48" s="223"/>
      <c r="NDG48" s="223"/>
      <c r="NDH48" s="225"/>
      <c r="NDI48" s="220"/>
      <c r="NDJ48" s="221"/>
      <c r="NDK48" s="222"/>
      <c r="NDL48" s="222"/>
      <c r="NDM48" s="223"/>
      <c r="NDN48" s="223"/>
      <c r="NDO48" s="224"/>
      <c r="NDP48" s="223"/>
      <c r="NDQ48" s="223"/>
      <c r="NDR48" s="223"/>
      <c r="NDS48" s="223"/>
      <c r="NDT48" s="225"/>
      <c r="NDU48" s="220"/>
      <c r="NDV48" s="221"/>
      <c r="NDW48" s="222"/>
      <c r="NDX48" s="222"/>
      <c r="NDY48" s="223"/>
      <c r="NDZ48" s="223"/>
      <c r="NEA48" s="224"/>
      <c r="NEB48" s="223"/>
      <c r="NEC48" s="223"/>
      <c r="NED48" s="223"/>
      <c r="NEE48" s="223"/>
      <c r="NEF48" s="225"/>
      <c r="NEG48" s="220"/>
      <c r="NEH48" s="221"/>
      <c r="NEI48" s="222"/>
      <c r="NEJ48" s="222"/>
      <c r="NEK48" s="223"/>
      <c r="NEL48" s="223"/>
      <c r="NEM48" s="224"/>
      <c r="NEN48" s="223"/>
      <c r="NEO48" s="223"/>
      <c r="NEP48" s="223"/>
      <c r="NEQ48" s="223"/>
      <c r="NER48" s="225"/>
      <c r="NES48" s="220"/>
      <c r="NET48" s="221"/>
      <c r="NEU48" s="222"/>
      <c r="NEV48" s="222"/>
      <c r="NEW48" s="223"/>
      <c r="NEX48" s="223"/>
      <c r="NEY48" s="224"/>
      <c r="NEZ48" s="223"/>
      <c r="NFA48" s="223"/>
      <c r="NFB48" s="223"/>
      <c r="NFC48" s="223"/>
      <c r="NFD48" s="225"/>
      <c r="NFE48" s="220"/>
      <c r="NFF48" s="221"/>
      <c r="NFG48" s="222"/>
      <c r="NFH48" s="222"/>
      <c r="NFI48" s="223"/>
      <c r="NFJ48" s="223"/>
      <c r="NFK48" s="224"/>
      <c r="NFL48" s="223"/>
      <c r="NFM48" s="223"/>
      <c r="NFN48" s="223"/>
      <c r="NFO48" s="223"/>
      <c r="NFP48" s="225"/>
      <c r="NFQ48" s="220"/>
      <c r="NFR48" s="221"/>
      <c r="NFS48" s="222"/>
      <c r="NFT48" s="222"/>
      <c r="NFU48" s="223"/>
      <c r="NFV48" s="223"/>
      <c r="NFW48" s="224"/>
      <c r="NFX48" s="223"/>
      <c r="NFY48" s="223"/>
      <c r="NFZ48" s="223"/>
      <c r="NGA48" s="223"/>
      <c r="NGB48" s="225"/>
      <c r="NGC48" s="220"/>
      <c r="NGD48" s="221"/>
      <c r="NGE48" s="222"/>
      <c r="NGF48" s="222"/>
      <c r="NGG48" s="223"/>
      <c r="NGH48" s="223"/>
      <c r="NGI48" s="224"/>
      <c r="NGJ48" s="223"/>
      <c r="NGK48" s="223"/>
      <c r="NGL48" s="223"/>
      <c r="NGM48" s="223"/>
      <c r="NGN48" s="225"/>
      <c r="NGO48" s="220"/>
      <c r="NGP48" s="221"/>
      <c r="NGQ48" s="222"/>
      <c r="NGR48" s="222"/>
      <c r="NGS48" s="223"/>
      <c r="NGT48" s="223"/>
      <c r="NGU48" s="224"/>
      <c r="NGV48" s="223"/>
      <c r="NGW48" s="223"/>
      <c r="NGX48" s="223"/>
      <c r="NGY48" s="223"/>
      <c r="NGZ48" s="225"/>
      <c r="NHA48" s="220"/>
      <c r="NHB48" s="221"/>
      <c r="NHC48" s="222"/>
      <c r="NHD48" s="222"/>
      <c r="NHE48" s="223"/>
      <c r="NHF48" s="223"/>
      <c r="NHG48" s="224"/>
      <c r="NHH48" s="223"/>
      <c r="NHI48" s="223"/>
      <c r="NHJ48" s="223"/>
      <c r="NHK48" s="223"/>
      <c r="NHL48" s="225"/>
      <c r="NHM48" s="220"/>
      <c r="NHN48" s="221"/>
      <c r="NHO48" s="222"/>
      <c r="NHP48" s="222"/>
      <c r="NHQ48" s="223"/>
      <c r="NHR48" s="223"/>
      <c r="NHS48" s="224"/>
      <c r="NHT48" s="223"/>
      <c r="NHU48" s="223"/>
      <c r="NHV48" s="223"/>
      <c r="NHW48" s="223"/>
      <c r="NHX48" s="225"/>
      <c r="NHY48" s="220"/>
      <c r="NHZ48" s="221"/>
      <c r="NIA48" s="222"/>
      <c r="NIB48" s="222"/>
      <c r="NIC48" s="223"/>
      <c r="NID48" s="223"/>
      <c r="NIE48" s="224"/>
      <c r="NIF48" s="223"/>
      <c r="NIG48" s="223"/>
      <c r="NIH48" s="223"/>
      <c r="NII48" s="223"/>
      <c r="NIJ48" s="225"/>
      <c r="NIK48" s="220"/>
      <c r="NIL48" s="221"/>
      <c r="NIM48" s="222"/>
      <c r="NIN48" s="222"/>
      <c r="NIO48" s="223"/>
      <c r="NIP48" s="223"/>
      <c r="NIQ48" s="224"/>
      <c r="NIR48" s="223"/>
      <c r="NIS48" s="223"/>
      <c r="NIT48" s="223"/>
      <c r="NIU48" s="223"/>
      <c r="NIV48" s="225"/>
      <c r="NIW48" s="220"/>
      <c r="NIX48" s="221"/>
      <c r="NIY48" s="222"/>
      <c r="NIZ48" s="222"/>
      <c r="NJA48" s="223"/>
      <c r="NJB48" s="223"/>
      <c r="NJC48" s="224"/>
      <c r="NJD48" s="223"/>
      <c r="NJE48" s="223"/>
      <c r="NJF48" s="223"/>
      <c r="NJG48" s="223"/>
      <c r="NJH48" s="225"/>
      <c r="NJI48" s="220"/>
      <c r="NJJ48" s="221"/>
      <c r="NJK48" s="222"/>
      <c r="NJL48" s="222"/>
      <c r="NJM48" s="223"/>
      <c r="NJN48" s="223"/>
      <c r="NJO48" s="224"/>
      <c r="NJP48" s="223"/>
      <c r="NJQ48" s="223"/>
      <c r="NJR48" s="223"/>
      <c r="NJS48" s="223"/>
      <c r="NJT48" s="225"/>
      <c r="NJU48" s="220"/>
      <c r="NJV48" s="221"/>
      <c r="NJW48" s="222"/>
      <c r="NJX48" s="222"/>
      <c r="NJY48" s="223"/>
      <c r="NJZ48" s="223"/>
      <c r="NKA48" s="224"/>
      <c r="NKB48" s="223"/>
      <c r="NKC48" s="223"/>
      <c r="NKD48" s="223"/>
      <c r="NKE48" s="223"/>
      <c r="NKF48" s="225"/>
      <c r="NKG48" s="220"/>
      <c r="NKH48" s="221"/>
      <c r="NKI48" s="222"/>
      <c r="NKJ48" s="222"/>
      <c r="NKK48" s="223"/>
      <c r="NKL48" s="223"/>
      <c r="NKM48" s="224"/>
      <c r="NKN48" s="223"/>
      <c r="NKO48" s="223"/>
      <c r="NKP48" s="223"/>
      <c r="NKQ48" s="223"/>
      <c r="NKR48" s="225"/>
      <c r="NKS48" s="220"/>
      <c r="NKT48" s="221"/>
      <c r="NKU48" s="222"/>
      <c r="NKV48" s="222"/>
      <c r="NKW48" s="223"/>
      <c r="NKX48" s="223"/>
      <c r="NKY48" s="224"/>
      <c r="NKZ48" s="223"/>
      <c r="NLA48" s="223"/>
      <c r="NLB48" s="223"/>
      <c r="NLC48" s="223"/>
      <c r="NLD48" s="225"/>
      <c r="NLE48" s="220"/>
      <c r="NLF48" s="221"/>
      <c r="NLG48" s="222"/>
      <c r="NLH48" s="222"/>
      <c r="NLI48" s="223"/>
      <c r="NLJ48" s="223"/>
      <c r="NLK48" s="224"/>
      <c r="NLL48" s="223"/>
      <c r="NLM48" s="223"/>
      <c r="NLN48" s="223"/>
      <c r="NLO48" s="223"/>
      <c r="NLP48" s="225"/>
      <c r="NLQ48" s="220"/>
      <c r="NLR48" s="221"/>
      <c r="NLS48" s="222"/>
      <c r="NLT48" s="222"/>
      <c r="NLU48" s="223"/>
      <c r="NLV48" s="223"/>
      <c r="NLW48" s="224"/>
      <c r="NLX48" s="223"/>
      <c r="NLY48" s="223"/>
      <c r="NLZ48" s="223"/>
      <c r="NMA48" s="223"/>
      <c r="NMB48" s="225"/>
      <c r="NMC48" s="220"/>
      <c r="NMD48" s="221"/>
      <c r="NME48" s="222"/>
      <c r="NMF48" s="222"/>
      <c r="NMG48" s="223"/>
      <c r="NMH48" s="223"/>
      <c r="NMI48" s="224"/>
      <c r="NMJ48" s="223"/>
      <c r="NMK48" s="223"/>
      <c r="NML48" s="223"/>
      <c r="NMM48" s="223"/>
      <c r="NMN48" s="225"/>
      <c r="NMO48" s="220"/>
      <c r="NMP48" s="221"/>
      <c r="NMQ48" s="222"/>
      <c r="NMR48" s="222"/>
      <c r="NMS48" s="223"/>
      <c r="NMT48" s="223"/>
      <c r="NMU48" s="224"/>
      <c r="NMV48" s="223"/>
      <c r="NMW48" s="223"/>
      <c r="NMX48" s="223"/>
      <c r="NMY48" s="223"/>
      <c r="NMZ48" s="225"/>
      <c r="NNA48" s="220"/>
      <c r="NNB48" s="221"/>
      <c r="NNC48" s="222"/>
      <c r="NND48" s="222"/>
      <c r="NNE48" s="223"/>
      <c r="NNF48" s="223"/>
      <c r="NNG48" s="224"/>
      <c r="NNH48" s="223"/>
      <c r="NNI48" s="223"/>
      <c r="NNJ48" s="223"/>
      <c r="NNK48" s="223"/>
      <c r="NNL48" s="225"/>
      <c r="NNM48" s="220"/>
      <c r="NNN48" s="221"/>
      <c r="NNO48" s="222"/>
      <c r="NNP48" s="222"/>
      <c r="NNQ48" s="223"/>
      <c r="NNR48" s="223"/>
      <c r="NNS48" s="224"/>
      <c r="NNT48" s="223"/>
      <c r="NNU48" s="223"/>
      <c r="NNV48" s="223"/>
      <c r="NNW48" s="223"/>
      <c r="NNX48" s="225"/>
      <c r="NNY48" s="220"/>
      <c r="NNZ48" s="221"/>
      <c r="NOA48" s="222"/>
      <c r="NOB48" s="222"/>
      <c r="NOC48" s="223"/>
      <c r="NOD48" s="223"/>
      <c r="NOE48" s="224"/>
      <c r="NOF48" s="223"/>
      <c r="NOG48" s="223"/>
      <c r="NOH48" s="223"/>
      <c r="NOI48" s="223"/>
      <c r="NOJ48" s="225"/>
      <c r="NOK48" s="220"/>
      <c r="NOL48" s="221"/>
      <c r="NOM48" s="222"/>
      <c r="NON48" s="222"/>
      <c r="NOO48" s="223"/>
      <c r="NOP48" s="223"/>
      <c r="NOQ48" s="224"/>
      <c r="NOR48" s="223"/>
      <c r="NOS48" s="223"/>
      <c r="NOT48" s="223"/>
      <c r="NOU48" s="223"/>
      <c r="NOV48" s="225"/>
      <c r="NOW48" s="220"/>
      <c r="NOX48" s="221"/>
      <c r="NOY48" s="222"/>
      <c r="NOZ48" s="222"/>
      <c r="NPA48" s="223"/>
      <c r="NPB48" s="223"/>
      <c r="NPC48" s="224"/>
      <c r="NPD48" s="223"/>
      <c r="NPE48" s="223"/>
      <c r="NPF48" s="223"/>
      <c r="NPG48" s="223"/>
      <c r="NPH48" s="225"/>
      <c r="NPI48" s="220"/>
      <c r="NPJ48" s="221"/>
      <c r="NPK48" s="222"/>
      <c r="NPL48" s="222"/>
      <c r="NPM48" s="223"/>
      <c r="NPN48" s="223"/>
      <c r="NPO48" s="224"/>
      <c r="NPP48" s="223"/>
      <c r="NPQ48" s="223"/>
      <c r="NPR48" s="223"/>
      <c r="NPS48" s="223"/>
      <c r="NPT48" s="225"/>
      <c r="NPU48" s="220"/>
      <c r="NPV48" s="221"/>
      <c r="NPW48" s="222"/>
      <c r="NPX48" s="222"/>
      <c r="NPY48" s="223"/>
      <c r="NPZ48" s="223"/>
      <c r="NQA48" s="224"/>
      <c r="NQB48" s="223"/>
      <c r="NQC48" s="223"/>
      <c r="NQD48" s="223"/>
      <c r="NQE48" s="223"/>
      <c r="NQF48" s="225"/>
      <c r="NQG48" s="220"/>
      <c r="NQH48" s="221"/>
      <c r="NQI48" s="222"/>
      <c r="NQJ48" s="222"/>
      <c r="NQK48" s="223"/>
      <c r="NQL48" s="223"/>
      <c r="NQM48" s="224"/>
      <c r="NQN48" s="223"/>
      <c r="NQO48" s="223"/>
      <c r="NQP48" s="223"/>
      <c r="NQQ48" s="223"/>
      <c r="NQR48" s="225"/>
      <c r="NQS48" s="220"/>
      <c r="NQT48" s="221"/>
      <c r="NQU48" s="222"/>
      <c r="NQV48" s="222"/>
      <c r="NQW48" s="223"/>
      <c r="NQX48" s="223"/>
      <c r="NQY48" s="224"/>
      <c r="NQZ48" s="223"/>
      <c r="NRA48" s="223"/>
      <c r="NRB48" s="223"/>
      <c r="NRC48" s="223"/>
      <c r="NRD48" s="225"/>
      <c r="NRE48" s="220"/>
      <c r="NRF48" s="221"/>
      <c r="NRG48" s="222"/>
      <c r="NRH48" s="222"/>
      <c r="NRI48" s="223"/>
      <c r="NRJ48" s="223"/>
      <c r="NRK48" s="224"/>
      <c r="NRL48" s="223"/>
      <c r="NRM48" s="223"/>
      <c r="NRN48" s="223"/>
      <c r="NRO48" s="223"/>
      <c r="NRP48" s="225"/>
      <c r="NRQ48" s="220"/>
      <c r="NRR48" s="221"/>
      <c r="NRS48" s="222"/>
      <c r="NRT48" s="222"/>
      <c r="NRU48" s="223"/>
      <c r="NRV48" s="223"/>
      <c r="NRW48" s="224"/>
      <c r="NRX48" s="223"/>
      <c r="NRY48" s="223"/>
      <c r="NRZ48" s="223"/>
      <c r="NSA48" s="223"/>
      <c r="NSB48" s="225"/>
      <c r="NSC48" s="220"/>
      <c r="NSD48" s="221"/>
      <c r="NSE48" s="222"/>
      <c r="NSF48" s="222"/>
      <c r="NSG48" s="223"/>
      <c r="NSH48" s="223"/>
      <c r="NSI48" s="224"/>
      <c r="NSJ48" s="223"/>
      <c r="NSK48" s="223"/>
      <c r="NSL48" s="223"/>
      <c r="NSM48" s="223"/>
      <c r="NSN48" s="225"/>
      <c r="NSO48" s="220"/>
      <c r="NSP48" s="221"/>
      <c r="NSQ48" s="222"/>
      <c r="NSR48" s="222"/>
      <c r="NSS48" s="223"/>
      <c r="NST48" s="223"/>
      <c r="NSU48" s="224"/>
      <c r="NSV48" s="223"/>
      <c r="NSW48" s="223"/>
      <c r="NSX48" s="223"/>
      <c r="NSY48" s="223"/>
      <c r="NSZ48" s="225"/>
      <c r="NTA48" s="220"/>
      <c r="NTB48" s="221"/>
      <c r="NTC48" s="222"/>
      <c r="NTD48" s="222"/>
      <c r="NTE48" s="223"/>
      <c r="NTF48" s="223"/>
      <c r="NTG48" s="224"/>
      <c r="NTH48" s="223"/>
      <c r="NTI48" s="223"/>
      <c r="NTJ48" s="223"/>
      <c r="NTK48" s="223"/>
      <c r="NTL48" s="225"/>
      <c r="NTM48" s="220"/>
      <c r="NTN48" s="221"/>
      <c r="NTO48" s="222"/>
      <c r="NTP48" s="222"/>
      <c r="NTQ48" s="223"/>
      <c r="NTR48" s="223"/>
      <c r="NTS48" s="224"/>
      <c r="NTT48" s="223"/>
      <c r="NTU48" s="223"/>
      <c r="NTV48" s="223"/>
      <c r="NTW48" s="223"/>
      <c r="NTX48" s="225"/>
      <c r="NTY48" s="220"/>
      <c r="NTZ48" s="221"/>
      <c r="NUA48" s="222"/>
      <c r="NUB48" s="222"/>
      <c r="NUC48" s="223"/>
      <c r="NUD48" s="223"/>
      <c r="NUE48" s="224"/>
      <c r="NUF48" s="223"/>
      <c r="NUG48" s="223"/>
      <c r="NUH48" s="223"/>
      <c r="NUI48" s="223"/>
      <c r="NUJ48" s="225"/>
      <c r="NUK48" s="220"/>
      <c r="NUL48" s="221"/>
      <c r="NUM48" s="222"/>
      <c r="NUN48" s="222"/>
      <c r="NUO48" s="223"/>
      <c r="NUP48" s="223"/>
      <c r="NUQ48" s="224"/>
      <c r="NUR48" s="223"/>
      <c r="NUS48" s="223"/>
      <c r="NUT48" s="223"/>
      <c r="NUU48" s="223"/>
      <c r="NUV48" s="225"/>
      <c r="NUW48" s="220"/>
      <c r="NUX48" s="221"/>
      <c r="NUY48" s="222"/>
      <c r="NUZ48" s="222"/>
      <c r="NVA48" s="223"/>
      <c r="NVB48" s="223"/>
      <c r="NVC48" s="224"/>
      <c r="NVD48" s="223"/>
      <c r="NVE48" s="223"/>
      <c r="NVF48" s="223"/>
      <c r="NVG48" s="223"/>
      <c r="NVH48" s="225"/>
      <c r="NVI48" s="220"/>
      <c r="NVJ48" s="221"/>
      <c r="NVK48" s="222"/>
      <c r="NVL48" s="222"/>
      <c r="NVM48" s="223"/>
      <c r="NVN48" s="223"/>
      <c r="NVO48" s="224"/>
      <c r="NVP48" s="223"/>
      <c r="NVQ48" s="223"/>
      <c r="NVR48" s="223"/>
      <c r="NVS48" s="223"/>
      <c r="NVT48" s="225"/>
      <c r="NVU48" s="220"/>
      <c r="NVV48" s="221"/>
      <c r="NVW48" s="222"/>
      <c r="NVX48" s="222"/>
      <c r="NVY48" s="223"/>
      <c r="NVZ48" s="223"/>
      <c r="NWA48" s="224"/>
      <c r="NWB48" s="223"/>
      <c r="NWC48" s="223"/>
      <c r="NWD48" s="223"/>
      <c r="NWE48" s="223"/>
      <c r="NWF48" s="225"/>
      <c r="NWG48" s="220"/>
      <c r="NWH48" s="221"/>
      <c r="NWI48" s="222"/>
      <c r="NWJ48" s="222"/>
      <c r="NWK48" s="223"/>
      <c r="NWL48" s="223"/>
      <c r="NWM48" s="224"/>
      <c r="NWN48" s="223"/>
      <c r="NWO48" s="223"/>
      <c r="NWP48" s="223"/>
      <c r="NWQ48" s="223"/>
      <c r="NWR48" s="225"/>
      <c r="NWS48" s="220"/>
      <c r="NWT48" s="221"/>
      <c r="NWU48" s="222"/>
      <c r="NWV48" s="222"/>
      <c r="NWW48" s="223"/>
      <c r="NWX48" s="223"/>
      <c r="NWY48" s="224"/>
      <c r="NWZ48" s="223"/>
      <c r="NXA48" s="223"/>
      <c r="NXB48" s="223"/>
      <c r="NXC48" s="223"/>
      <c r="NXD48" s="225"/>
      <c r="NXE48" s="220"/>
      <c r="NXF48" s="221"/>
      <c r="NXG48" s="222"/>
      <c r="NXH48" s="222"/>
      <c r="NXI48" s="223"/>
      <c r="NXJ48" s="223"/>
      <c r="NXK48" s="224"/>
      <c r="NXL48" s="223"/>
      <c r="NXM48" s="223"/>
      <c r="NXN48" s="223"/>
      <c r="NXO48" s="223"/>
      <c r="NXP48" s="225"/>
      <c r="NXQ48" s="220"/>
      <c r="NXR48" s="221"/>
      <c r="NXS48" s="222"/>
      <c r="NXT48" s="222"/>
      <c r="NXU48" s="223"/>
      <c r="NXV48" s="223"/>
      <c r="NXW48" s="224"/>
      <c r="NXX48" s="223"/>
      <c r="NXY48" s="223"/>
      <c r="NXZ48" s="223"/>
      <c r="NYA48" s="223"/>
      <c r="NYB48" s="225"/>
      <c r="NYC48" s="220"/>
      <c r="NYD48" s="221"/>
      <c r="NYE48" s="222"/>
      <c r="NYF48" s="222"/>
      <c r="NYG48" s="223"/>
      <c r="NYH48" s="223"/>
      <c r="NYI48" s="224"/>
      <c r="NYJ48" s="223"/>
      <c r="NYK48" s="223"/>
      <c r="NYL48" s="223"/>
      <c r="NYM48" s="223"/>
      <c r="NYN48" s="225"/>
      <c r="NYO48" s="220"/>
      <c r="NYP48" s="221"/>
      <c r="NYQ48" s="222"/>
      <c r="NYR48" s="222"/>
      <c r="NYS48" s="223"/>
      <c r="NYT48" s="223"/>
      <c r="NYU48" s="224"/>
      <c r="NYV48" s="223"/>
      <c r="NYW48" s="223"/>
      <c r="NYX48" s="223"/>
      <c r="NYY48" s="223"/>
      <c r="NYZ48" s="225"/>
      <c r="NZA48" s="220"/>
      <c r="NZB48" s="221"/>
      <c r="NZC48" s="222"/>
      <c r="NZD48" s="222"/>
      <c r="NZE48" s="223"/>
      <c r="NZF48" s="223"/>
      <c r="NZG48" s="224"/>
      <c r="NZH48" s="223"/>
      <c r="NZI48" s="223"/>
      <c r="NZJ48" s="223"/>
      <c r="NZK48" s="223"/>
      <c r="NZL48" s="225"/>
      <c r="NZM48" s="220"/>
      <c r="NZN48" s="221"/>
      <c r="NZO48" s="222"/>
      <c r="NZP48" s="222"/>
      <c r="NZQ48" s="223"/>
      <c r="NZR48" s="223"/>
      <c r="NZS48" s="224"/>
      <c r="NZT48" s="223"/>
      <c r="NZU48" s="223"/>
      <c r="NZV48" s="223"/>
      <c r="NZW48" s="223"/>
      <c r="NZX48" s="225"/>
      <c r="NZY48" s="220"/>
      <c r="NZZ48" s="221"/>
      <c r="OAA48" s="222"/>
      <c r="OAB48" s="222"/>
      <c r="OAC48" s="223"/>
      <c r="OAD48" s="223"/>
      <c r="OAE48" s="224"/>
      <c r="OAF48" s="223"/>
      <c r="OAG48" s="223"/>
      <c r="OAH48" s="223"/>
      <c r="OAI48" s="223"/>
      <c r="OAJ48" s="225"/>
      <c r="OAK48" s="220"/>
      <c r="OAL48" s="221"/>
      <c r="OAM48" s="222"/>
      <c r="OAN48" s="222"/>
      <c r="OAO48" s="223"/>
      <c r="OAP48" s="223"/>
      <c r="OAQ48" s="224"/>
      <c r="OAR48" s="223"/>
      <c r="OAS48" s="223"/>
      <c r="OAT48" s="223"/>
      <c r="OAU48" s="223"/>
      <c r="OAV48" s="225"/>
      <c r="OAW48" s="220"/>
      <c r="OAX48" s="221"/>
      <c r="OAY48" s="222"/>
      <c r="OAZ48" s="222"/>
      <c r="OBA48" s="223"/>
      <c r="OBB48" s="223"/>
      <c r="OBC48" s="224"/>
      <c r="OBD48" s="223"/>
      <c r="OBE48" s="223"/>
      <c r="OBF48" s="223"/>
      <c r="OBG48" s="223"/>
      <c r="OBH48" s="225"/>
      <c r="OBI48" s="220"/>
      <c r="OBJ48" s="221"/>
      <c r="OBK48" s="222"/>
      <c r="OBL48" s="222"/>
      <c r="OBM48" s="223"/>
      <c r="OBN48" s="223"/>
      <c r="OBO48" s="224"/>
      <c r="OBP48" s="223"/>
      <c r="OBQ48" s="223"/>
      <c r="OBR48" s="223"/>
      <c r="OBS48" s="223"/>
      <c r="OBT48" s="225"/>
      <c r="OBU48" s="220"/>
      <c r="OBV48" s="221"/>
      <c r="OBW48" s="222"/>
      <c r="OBX48" s="222"/>
      <c r="OBY48" s="223"/>
      <c r="OBZ48" s="223"/>
      <c r="OCA48" s="224"/>
      <c r="OCB48" s="223"/>
      <c r="OCC48" s="223"/>
      <c r="OCD48" s="223"/>
      <c r="OCE48" s="223"/>
      <c r="OCF48" s="225"/>
      <c r="OCG48" s="220"/>
      <c r="OCH48" s="221"/>
      <c r="OCI48" s="222"/>
      <c r="OCJ48" s="222"/>
      <c r="OCK48" s="223"/>
      <c r="OCL48" s="223"/>
      <c r="OCM48" s="224"/>
      <c r="OCN48" s="223"/>
      <c r="OCO48" s="223"/>
      <c r="OCP48" s="223"/>
      <c r="OCQ48" s="223"/>
      <c r="OCR48" s="225"/>
      <c r="OCS48" s="220"/>
      <c r="OCT48" s="221"/>
      <c r="OCU48" s="222"/>
      <c r="OCV48" s="222"/>
      <c r="OCW48" s="223"/>
      <c r="OCX48" s="223"/>
      <c r="OCY48" s="224"/>
      <c r="OCZ48" s="223"/>
      <c r="ODA48" s="223"/>
      <c r="ODB48" s="223"/>
      <c r="ODC48" s="223"/>
      <c r="ODD48" s="225"/>
      <c r="ODE48" s="220"/>
      <c r="ODF48" s="221"/>
      <c r="ODG48" s="222"/>
      <c r="ODH48" s="222"/>
      <c r="ODI48" s="223"/>
      <c r="ODJ48" s="223"/>
      <c r="ODK48" s="224"/>
      <c r="ODL48" s="223"/>
      <c r="ODM48" s="223"/>
      <c r="ODN48" s="223"/>
      <c r="ODO48" s="223"/>
      <c r="ODP48" s="225"/>
      <c r="ODQ48" s="220"/>
      <c r="ODR48" s="221"/>
      <c r="ODS48" s="222"/>
      <c r="ODT48" s="222"/>
      <c r="ODU48" s="223"/>
      <c r="ODV48" s="223"/>
      <c r="ODW48" s="224"/>
      <c r="ODX48" s="223"/>
      <c r="ODY48" s="223"/>
      <c r="ODZ48" s="223"/>
      <c r="OEA48" s="223"/>
      <c r="OEB48" s="225"/>
      <c r="OEC48" s="220"/>
      <c r="OED48" s="221"/>
      <c r="OEE48" s="222"/>
      <c r="OEF48" s="222"/>
      <c r="OEG48" s="223"/>
      <c r="OEH48" s="223"/>
      <c r="OEI48" s="224"/>
      <c r="OEJ48" s="223"/>
      <c r="OEK48" s="223"/>
      <c r="OEL48" s="223"/>
      <c r="OEM48" s="223"/>
      <c r="OEN48" s="225"/>
      <c r="OEO48" s="220"/>
      <c r="OEP48" s="221"/>
      <c r="OEQ48" s="222"/>
      <c r="OER48" s="222"/>
      <c r="OES48" s="223"/>
      <c r="OET48" s="223"/>
      <c r="OEU48" s="224"/>
      <c r="OEV48" s="223"/>
      <c r="OEW48" s="223"/>
      <c r="OEX48" s="223"/>
      <c r="OEY48" s="223"/>
      <c r="OEZ48" s="225"/>
      <c r="OFA48" s="220"/>
      <c r="OFB48" s="221"/>
      <c r="OFC48" s="222"/>
      <c r="OFD48" s="222"/>
      <c r="OFE48" s="223"/>
      <c r="OFF48" s="223"/>
      <c r="OFG48" s="224"/>
      <c r="OFH48" s="223"/>
      <c r="OFI48" s="223"/>
      <c r="OFJ48" s="223"/>
      <c r="OFK48" s="223"/>
      <c r="OFL48" s="225"/>
      <c r="OFM48" s="220"/>
      <c r="OFN48" s="221"/>
      <c r="OFO48" s="222"/>
      <c r="OFP48" s="222"/>
      <c r="OFQ48" s="223"/>
      <c r="OFR48" s="223"/>
      <c r="OFS48" s="224"/>
      <c r="OFT48" s="223"/>
      <c r="OFU48" s="223"/>
      <c r="OFV48" s="223"/>
      <c r="OFW48" s="223"/>
      <c r="OFX48" s="225"/>
      <c r="OFY48" s="220"/>
      <c r="OFZ48" s="221"/>
      <c r="OGA48" s="222"/>
      <c r="OGB48" s="222"/>
      <c r="OGC48" s="223"/>
      <c r="OGD48" s="223"/>
      <c r="OGE48" s="224"/>
      <c r="OGF48" s="223"/>
      <c r="OGG48" s="223"/>
      <c r="OGH48" s="223"/>
      <c r="OGI48" s="223"/>
      <c r="OGJ48" s="225"/>
      <c r="OGK48" s="220"/>
      <c r="OGL48" s="221"/>
      <c r="OGM48" s="222"/>
      <c r="OGN48" s="222"/>
      <c r="OGO48" s="223"/>
      <c r="OGP48" s="223"/>
      <c r="OGQ48" s="224"/>
      <c r="OGR48" s="223"/>
      <c r="OGS48" s="223"/>
      <c r="OGT48" s="223"/>
      <c r="OGU48" s="223"/>
      <c r="OGV48" s="225"/>
      <c r="OGW48" s="220"/>
      <c r="OGX48" s="221"/>
      <c r="OGY48" s="222"/>
      <c r="OGZ48" s="222"/>
      <c r="OHA48" s="223"/>
      <c r="OHB48" s="223"/>
      <c r="OHC48" s="224"/>
      <c r="OHD48" s="223"/>
      <c r="OHE48" s="223"/>
      <c r="OHF48" s="223"/>
      <c r="OHG48" s="223"/>
      <c r="OHH48" s="225"/>
      <c r="OHI48" s="220"/>
      <c r="OHJ48" s="221"/>
      <c r="OHK48" s="222"/>
      <c r="OHL48" s="222"/>
      <c r="OHM48" s="223"/>
      <c r="OHN48" s="223"/>
      <c r="OHO48" s="224"/>
      <c r="OHP48" s="223"/>
      <c r="OHQ48" s="223"/>
      <c r="OHR48" s="223"/>
      <c r="OHS48" s="223"/>
      <c r="OHT48" s="225"/>
      <c r="OHU48" s="220"/>
      <c r="OHV48" s="221"/>
      <c r="OHW48" s="222"/>
      <c r="OHX48" s="222"/>
      <c r="OHY48" s="223"/>
      <c r="OHZ48" s="223"/>
      <c r="OIA48" s="224"/>
      <c r="OIB48" s="223"/>
      <c r="OIC48" s="223"/>
      <c r="OID48" s="223"/>
      <c r="OIE48" s="223"/>
      <c r="OIF48" s="225"/>
      <c r="OIG48" s="220"/>
      <c r="OIH48" s="221"/>
      <c r="OII48" s="222"/>
      <c r="OIJ48" s="222"/>
      <c r="OIK48" s="223"/>
      <c r="OIL48" s="223"/>
      <c r="OIM48" s="224"/>
      <c r="OIN48" s="223"/>
      <c r="OIO48" s="223"/>
      <c r="OIP48" s="223"/>
      <c r="OIQ48" s="223"/>
      <c r="OIR48" s="225"/>
      <c r="OIS48" s="220"/>
      <c r="OIT48" s="221"/>
      <c r="OIU48" s="222"/>
      <c r="OIV48" s="222"/>
      <c r="OIW48" s="223"/>
      <c r="OIX48" s="223"/>
      <c r="OIY48" s="224"/>
      <c r="OIZ48" s="223"/>
      <c r="OJA48" s="223"/>
      <c r="OJB48" s="223"/>
      <c r="OJC48" s="223"/>
      <c r="OJD48" s="225"/>
      <c r="OJE48" s="220"/>
      <c r="OJF48" s="221"/>
      <c r="OJG48" s="222"/>
      <c r="OJH48" s="222"/>
      <c r="OJI48" s="223"/>
      <c r="OJJ48" s="223"/>
      <c r="OJK48" s="224"/>
      <c r="OJL48" s="223"/>
      <c r="OJM48" s="223"/>
      <c r="OJN48" s="223"/>
      <c r="OJO48" s="223"/>
      <c r="OJP48" s="225"/>
      <c r="OJQ48" s="220"/>
      <c r="OJR48" s="221"/>
      <c r="OJS48" s="222"/>
      <c r="OJT48" s="222"/>
      <c r="OJU48" s="223"/>
      <c r="OJV48" s="223"/>
      <c r="OJW48" s="224"/>
      <c r="OJX48" s="223"/>
      <c r="OJY48" s="223"/>
      <c r="OJZ48" s="223"/>
      <c r="OKA48" s="223"/>
      <c r="OKB48" s="225"/>
      <c r="OKC48" s="220"/>
      <c r="OKD48" s="221"/>
      <c r="OKE48" s="222"/>
      <c r="OKF48" s="222"/>
      <c r="OKG48" s="223"/>
      <c r="OKH48" s="223"/>
      <c r="OKI48" s="224"/>
      <c r="OKJ48" s="223"/>
      <c r="OKK48" s="223"/>
      <c r="OKL48" s="223"/>
      <c r="OKM48" s="223"/>
      <c r="OKN48" s="225"/>
      <c r="OKO48" s="220"/>
      <c r="OKP48" s="221"/>
      <c r="OKQ48" s="222"/>
      <c r="OKR48" s="222"/>
      <c r="OKS48" s="223"/>
      <c r="OKT48" s="223"/>
      <c r="OKU48" s="224"/>
      <c r="OKV48" s="223"/>
      <c r="OKW48" s="223"/>
      <c r="OKX48" s="223"/>
      <c r="OKY48" s="223"/>
      <c r="OKZ48" s="225"/>
      <c r="OLA48" s="220"/>
      <c r="OLB48" s="221"/>
      <c r="OLC48" s="222"/>
      <c r="OLD48" s="222"/>
      <c r="OLE48" s="223"/>
      <c r="OLF48" s="223"/>
      <c r="OLG48" s="224"/>
      <c r="OLH48" s="223"/>
      <c r="OLI48" s="223"/>
      <c r="OLJ48" s="223"/>
      <c r="OLK48" s="223"/>
      <c r="OLL48" s="225"/>
      <c r="OLM48" s="220"/>
      <c r="OLN48" s="221"/>
      <c r="OLO48" s="222"/>
      <c r="OLP48" s="222"/>
      <c r="OLQ48" s="223"/>
      <c r="OLR48" s="223"/>
      <c r="OLS48" s="224"/>
      <c r="OLT48" s="223"/>
      <c r="OLU48" s="223"/>
      <c r="OLV48" s="223"/>
      <c r="OLW48" s="223"/>
      <c r="OLX48" s="225"/>
      <c r="OLY48" s="220"/>
      <c r="OLZ48" s="221"/>
      <c r="OMA48" s="222"/>
      <c r="OMB48" s="222"/>
      <c r="OMC48" s="223"/>
      <c r="OMD48" s="223"/>
      <c r="OME48" s="224"/>
      <c r="OMF48" s="223"/>
      <c r="OMG48" s="223"/>
      <c r="OMH48" s="223"/>
      <c r="OMI48" s="223"/>
      <c r="OMJ48" s="225"/>
      <c r="OMK48" s="220"/>
      <c r="OML48" s="221"/>
      <c r="OMM48" s="222"/>
      <c r="OMN48" s="222"/>
      <c r="OMO48" s="223"/>
      <c r="OMP48" s="223"/>
      <c r="OMQ48" s="224"/>
      <c r="OMR48" s="223"/>
      <c r="OMS48" s="223"/>
      <c r="OMT48" s="223"/>
      <c r="OMU48" s="223"/>
      <c r="OMV48" s="225"/>
      <c r="OMW48" s="220"/>
      <c r="OMX48" s="221"/>
      <c r="OMY48" s="222"/>
      <c r="OMZ48" s="222"/>
      <c r="ONA48" s="223"/>
      <c r="ONB48" s="223"/>
      <c r="ONC48" s="224"/>
      <c r="OND48" s="223"/>
      <c r="ONE48" s="223"/>
      <c r="ONF48" s="223"/>
      <c r="ONG48" s="223"/>
      <c r="ONH48" s="225"/>
      <c r="ONI48" s="220"/>
      <c r="ONJ48" s="221"/>
      <c r="ONK48" s="222"/>
      <c r="ONL48" s="222"/>
      <c r="ONM48" s="223"/>
      <c r="ONN48" s="223"/>
      <c r="ONO48" s="224"/>
      <c r="ONP48" s="223"/>
      <c r="ONQ48" s="223"/>
      <c r="ONR48" s="223"/>
      <c r="ONS48" s="223"/>
      <c r="ONT48" s="225"/>
      <c r="ONU48" s="220"/>
      <c r="ONV48" s="221"/>
      <c r="ONW48" s="222"/>
      <c r="ONX48" s="222"/>
      <c r="ONY48" s="223"/>
      <c r="ONZ48" s="223"/>
      <c r="OOA48" s="224"/>
      <c r="OOB48" s="223"/>
      <c r="OOC48" s="223"/>
      <c r="OOD48" s="223"/>
      <c r="OOE48" s="223"/>
      <c r="OOF48" s="225"/>
      <c r="OOG48" s="220"/>
      <c r="OOH48" s="221"/>
      <c r="OOI48" s="222"/>
      <c r="OOJ48" s="222"/>
      <c r="OOK48" s="223"/>
      <c r="OOL48" s="223"/>
      <c r="OOM48" s="224"/>
      <c r="OON48" s="223"/>
      <c r="OOO48" s="223"/>
      <c r="OOP48" s="223"/>
      <c r="OOQ48" s="223"/>
      <c r="OOR48" s="225"/>
      <c r="OOS48" s="220"/>
      <c r="OOT48" s="221"/>
      <c r="OOU48" s="222"/>
      <c r="OOV48" s="222"/>
      <c r="OOW48" s="223"/>
      <c r="OOX48" s="223"/>
      <c r="OOY48" s="224"/>
      <c r="OOZ48" s="223"/>
      <c r="OPA48" s="223"/>
      <c r="OPB48" s="223"/>
      <c r="OPC48" s="223"/>
      <c r="OPD48" s="225"/>
      <c r="OPE48" s="220"/>
      <c r="OPF48" s="221"/>
      <c r="OPG48" s="222"/>
      <c r="OPH48" s="222"/>
      <c r="OPI48" s="223"/>
      <c r="OPJ48" s="223"/>
      <c r="OPK48" s="224"/>
      <c r="OPL48" s="223"/>
      <c r="OPM48" s="223"/>
      <c r="OPN48" s="223"/>
      <c r="OPO48" s="223"/>
      <c r="OPP48" s="225"/>
      <c r="OPQ48" s="220"/>
      <c r="OPR48" s="221"/>
      <c r="OPS48" s="222"/>
      <c r="OPT48" s="222"/>
      <c r="OPU48" s="223"/>
      <c r="OPV48" s="223"/>
      <c r="OPW48" s="224"/>
      <c r="OPX48" s="223"/>
      <c r="OPY48" s="223"/>
      <c r="OPZ48" s="223"/>
      <c r="OQA48" s="223"/>
      <c r="OQB48" s="225"/>
      <c r="OQC48" s="220"/>
      <c r="OQD48" s="221"/>
      <c r="OQE48" s="222"/>
      <c r="OQF48" s="222"/>
      <c r="OQG48" s="223"/>
      <c r="OQH48" s="223"/>
      <c r="OQI48" s="224"/>
      <c r="OQJ48" s="223"/>
      <c r="OQK48" s="223"/>
      <c r="OQL48" s="223"/>
      <c r="OQM48" s="223"/>
      <c r="OQN48" s="225"/>
      <c r="OQO48" s="220"/>
      <c r="OQP48" s="221"/>
      <c r="OQQ48" s="222"/>
      <c r="OQR48" s="222"/>
      <c r="OQS48" s="223"/>
      <c r="OQT48" s="223"/>
      <c r="OQU48" s="224"/>
      <c r="OQV48" s="223"/>
      <c r="OQW48" s="223"/>
      <c r="OQX48" s="223"/>
      <c r="OQY48" s="223"/>
      <c r="OQZ48" s="225"/>
      <c r="ORA48" s="220"/>
      <c r="ORB48" s="221"/>
      <c r="ORC48" s="222"/>
      <c r="ORD48" s="222"/>
      <c r="ORE48" s="223"/>
      <c r="ORF48" s="223"/>
      <c r="ORG48" s="224"/>
      <c r="ORH48" s="223"/>
      <c r="ORI48" s="223"/>
      <c r="ORJ48" s="223"/>
      <c r="ORK48" s="223"/>
      <c r="ORL48" s="225"/>
      <c r="ORM48" s="220"/>
      <c r="ORN48" s="221"/>
      <c r="ORO48" s="222"/>
      <c r="ORP48" s="222"/>
      <c r="ORQ48" s="223"/>
      <c r="ORR48" s="223"/>
      <c r="ORS48" s="224"/>
      <c r="ORT48" s="223"/>
      <c r="ORU48" s="223"/>
      <c r="ORV48" s="223"/>
      <c r="ORW48" s="223"/>
      <c r="ORX48" s="225"/>
      <c r="ORY48" s="220"/>
      <c r="ORZ48" s="221"/>
      <c r="OSA48" s="222"/>
      <c r="OSB48" s="222"/>
      <c r="OSC48" s="223"/>
      <c r="OSD48" s="223"/>
      <c r="OSE48" s="224"/>
      <c r="OSF48" s="223"/>
      <c r="OSG48" s="223"/>
      <c r="OSH48" s="223"/>
      <c r="OSI48" s="223"/>
      <c r="OSJ48" s="225"/>
      <c r="OSK48" s="220"/>
      <c r="OSL48" s="221"/>
      <c r="OSM48" s="222"/>
      <c r="OSN48" s="222"/>
      <c r="OSO48" s="223"/>
      <c r="OSP48" s="223"/>
      <c r="OSQ48" s="224"/>
      <c r="OSR48" s="223"/>
      <c r="OSS48" s="223"/>
      <c r="OST48" s="223"/>
      <c r="OSU48" s="223"/>
      <c r="OSV48" s="225"/>
      <c r="OSW48" s="220"/>
      <c r="OSX48" s="221"/>
      <c r="OSY48" s="222"/>
      <c r="OSZ48" s="222"/>
      <c r="OTA48" s="223"/>
      <c r="OTB48" s="223"/>
      <c r="OTC48" s="224"/>
      <c r="OTD48" s="223"/>
      <c r="OTE48" s="223"/>
      <c r="OTF48" s="223"/>
      <c r="OTG48" s="223"/>
      <c r="OTH48" s="225"/>
      <c r="OTI48" s="220"/>
      <c r="OTJ48" s="221"/>
      <c r="OTK48" s="222"/>
      <c r="OTL48" s="222"/>
      <c r="OTM48" s="223"/>
      <c r="OTN48" s="223"/>
      <c r="OTO48" s="224"/>
      <c r="OTP48" s="223"/>
      <c r="OTQ48" s="223"/>
      <c r="OTR48" s="223"/>
      <c r="OTS48" s="223"/>
      <c r="OTT48" s="225"/>
      <c r="OTU48" s="220"/>
      <c r="OTV48" s="221"/>
      <c r="OTW48" s="222"/>
      <c r="OTX48" s="222"/>
      <c r="OTY48" s="223"/>
      <c r="OTZ48" s="223"/>
      <c r="OUA48" s="224"/>
      <c r="OUB48" s="223"/>
      <c r="OUC48" s="223"/>
      <c r="OUD48" s="223"/>
      <c r="OUE48" s="223"/>
      <c r="OUF48" s="225"/>
      <c r="OUG48" s="220"/>
      <c r="OUH48" s="221"/>
      <c r="OUI48" s="222"/>
      <c r="OUJ48" s="222"/>
      <c r="OUK48" s="223"/>
      <c r="OUL48" s="223"/>
      <c r="OUM48" s="224"/>
      <c r="OUN48" s="223"/>
      <c r="OUO48" s="223"/>
      <c r="OUP48" s="223"/>
      <c r="OUQ48" s="223"/>
      <c r="OUR48" s="225"/>
      <c r="OUS48" s="220"/>
      <c r="OUT48" s="221"/>
      <c r="OUU48" s="222"/>
      <c r="OUV48" s="222"/>
      <c r="OUW48" s="223"/>
      <c r="OUX48" s="223"/>
      <c r="OUY48" s="224"/>
      <c r="OUZ48" s="223"/>
      <c r="OVA48" s="223"/>
      <c r="OVB48" s="223"/>
      <c r="OVC48" s="223"/>
      <c r="OVD48" s="225"/>
      <c r="OVE48" s="220"/>
      <c r="OVF48" s="221"/>
      <c r="OVG48" s="222"/>
      <c r="OVH48" s="222"/>
      <c r="OVI48" s="223"/>
      <c r="OVJ48" s="223"/>
      <c r="OVK48" s="224"/>
      <c r="OVL48" s="223"/>
      <c r="OVM48" s="223"/>
      <c r="OVN48" s="223"/>
      <c r="OVO48" s="223"/>
      <c r="OVP48" s="225"/>
      <c r="OVQ48" s="220"/>
      <c r="OVR48" s="221"/>
      <c r="OVS48" s="222"/>
      <c r="OVT48" s="222"/>
      <c r="OVU48" s="223"/>
      <c r="OVV48" s="223"/>
      <c r="OVW48" s="224"/>
      <c r="OVX48" s="223"/>
      <c r="OVY48" s="223"/>
      <c r="OVZ48" s="223"/>
      <c r="OWA48" s="223"/>
      <c r="OWB48" s="225"/>
      <c r="OWC48" s="220"/>
      <c r="OWD48" s="221"/>
      <c r="OWE48" s="222"/>
      <c r="OWF48" s="222"/>
      <c r="OWG48" s="223"/>
      <c r="OWH48" s="223"/>
      <c r="OWI48" s="224"/>
      <c r="OWJ48" s="223"/>
      <c r="OWK48" s="223"/>
      <c r="OWL48" s="223"/>
      <c r="OWM48" s="223"/>
      <c r="OWN48" s="225"/>
      <c r="OWO48" s="220"/>
      <c r="OWP48" s="221"/>
      <c r="OWQ48" s="222"/>
      <c r="OWR48" s="222"/>
      <c r="OWS48" s="223"/>
      <c r="OWT48" s="223"/>
      <c r="OWU48" s="224"/>
      <c r="OWV48" s="223"/>
      <c r="OWW48" s="223"/>
      <c r="OWX48" s="223"/>
      <c r="OWY48" s="223"/>
      <c r="OWZ48" s="225"/>
      <c r="OXA48" s="220"/>
      <c r="OXB48" s="221"/>
      <c r="OXC48" s="222"/>
      <c r="OXD48" s="222"/>
      <c r="OXE48" s="223"/>
      <c r="OXF48" s="223"/>
      <c r="OXG48" s="224"/>
      <c r="OXH48" s="223"/>
      <c r="OXI48" s="223"/>
      <c r="OXJ48" s="223"/>
      <c r="OXK48" s="223"/>
      <c r="OXL48" s="225"/>
      <c r="OXM48" s="220"/>
      <c r="OXN48" s="221"/>
      <c r="OXO48" s="222"/>
      <c r="OXP48" s="222"/>
      <c r="OXQ48" s="223"/>
      <c r="OXR48" s="223"/>
      <c r="OXS48" s="224"/>
      <c r="OXT48" s="223"/>
      <c r="OXU48" s="223"/>
      <c r="OXV48" s="223"/>
      <c r="OXW48" s="223"/>
      <c r="OXX48" s="225"/>
      <c r="OXY48" s="220"/>
      <c r="OXZ48" s="221"/>
      <c r="OYA48" s="222"/>
      <c r="OYB48" s="222"/>
      <c r="OYC48" s="223"/>
      <c r="OYD48" s="223"/>
      <c r="OYE48" s="224"/>
      <c r="OYF48" s="223"/>
      <c r="OYG48" s="223"/>
      <c r="OYH48" s="223"/>
      <c r="OYI48" s="223"/>
      <c r="OYJ48" s="225"/>
      <c r="OYK48" s="220"/>
      <c r="OYL48" s="221"/>
      <c r="OYM48" s="222"/>
      <c r="OYN48" s="222"/>
      <c r="OYO48" s="223"/>
      <c r="OYP48" s="223"/>
      <c r="OYQ48" s="224"/>
      <c r="OYR48" s="223"/>
      <c r="OYS48" s="223"/>
      <c r="OYT48" s="223"/>
      <c r="OYU48" s="223"/>
      <c r="OYV48" s="225"/>
      <c r="OYW48" s="220"/>
      <c r="OYX48" s="221"/>
      <c r="OYY48" s="222"/>
      <c r="OYZ48" s="222"/>
      <c r="OZA48" s="223"/>
      <c r="OZB48" s="223"/>
      <c r="OZC48" s="224"/>
      <c r="OZD48" s="223"/>
      <c r="OZE48" s="223"/>
      <c r="OZF48" s="223"/>
      <c r="OZG48" s="223"/>
      <c r="OZH48" s="225"/>
      <c r="OZI48" s="220"/>
      <c r="OZJ48" s="221"/>
      <c r="OZK48" s="222"/>
      <c r="OZL48" s="222"/>
      <c r="OZM48" s="223"/>
      <c r="OZN48" s="223"/>
      <c r="OZO48" s="224"/>
      <c r="OZP48" s="223"/>
      <c r="OZQ48" s="223"/>
      <c r="OZR48" s="223"/>
      <c r="OZS48" s="223"/>
      <c r="OZT48" s="225"/>
      <c r="OZU48" s="220"/>
      <c r="OZV48" s="221"/>
      <c r="OZW48" s="222"/>
      <c r="OZX48" s="222"/>
      <c r="OZY48" s="223"/>
      <c r="OZZ48" s="223"/>
      <c r="PAA48" s="224"/>
      <c r="PAB48" s="223"/>
      <c r="PAC48" s="223"/>
      <c r="PAD48" s="223"/>
      <c r="PAE48" s="223"/>
      <c r="PAF48" s="225"/>
      <c r="PAG48" s="220"/>
      <c r="PAH48" s="221"/>
      <c r="PAI48" s="222"/>
      <c r="PAJ48" s="222"/>
      <c r="PAK48" s="223"/>
      <c r="PAL48" s="223"/>
      <c r="PAM48" s="224"/>
      <c r="PAN48" s="223"/>
      <c r="PAO48" s="223"/>
      <c r="PAP48" s="223"/>
      <c r="PAQ48" s="223"/>
      <c r="PAR48" s="225"/>
      <c r="PAS48" s="220"/>
      <c r="PAT48" s="221"/>
      <c r="PAU48" s="222"/>
      <c r="PAV48" s="222"/>
      <c r="PAW48" s="223"/>
      <c r="PAX48" s="223"/>
      <c r="PAY48" s="224"/>
      <c r="PAZ48" s="223"/>
      <c r="PBA48" s="223"/>
      <c r="PBB48" s="223"/>
      <c r="PBC48" s="223"/>
      <c r="PBD48" s="225"/>
      <c r="PBE48" s="220"/>
      <c r="PBF48" s="221"/>
      <c r="PBG48" s="222"/>
      <c r="PBH48" s="222"/>
      <c r="PBI48" s="223"/>
      <c r="PBJ48" s="223"/>
      <c r="PBK48" s="224"/>
      <c r="PBL48" s="223"/>
      <c r="PBM48" s="223"/>
      <c r="PBN48" s="223"/>
      <c r="PBO48" s="223"/>
      <c r="PBP48" s="225"/>
      <c r="PBQ48" s="220"/>
      <c r="PBR48" s="221"/>
      <c r="PBS48" s="222"/>
      <c r="PBT48" s="222"/>
      <c r="PBU48" s="223"/>
      <c r="PBV48" s="223"/>
      <c r="PBW48" s="224"/>
      <c r="PBX48" s="223"/>
      <c r="PBY48" s="223"/>
      <c r="PBZ48" s="223"/>
      <c r="PCA48" s="223"/>
      <c r="PCB48" s="225"/>
      <c r="PCC48" s="220"/>
      <c r="PCD48" s="221"/>
      <c r="PCE48" s="222"/>
      <c r="PCF48" s="222"/>
      <c r="PCG48" s="223"/>
      <c r="PCH48" s="223"/>
      <c r="PCI48" s="224"/>
      <c r="PCJ48" s="223"/>
      <c r="PCK48" s="223"/>
      <c r="PCL48" s="223"/>
      <c r="PCM48" s="223"/>
      <c r="PCN48" s="225"/>
      <c r="PCO48" s="220"/>
      <c r="PCP48" s="221"/>
      <c r="PCQ48" s="222"/>
      <c r="PCR48" s="222"/>
      <c r="PCS48" s="223"/>
      <c r="PCT48" s="223"/>
      <c r="PCU48" s="224"/>
      <c r="PCV48" s="223"/>
      <c r="PCW48" s="223"/>
      <c r="PCX48" s="223"/>
      <c r="PCY48" s="223"/>
      <c r="PCZ48" s="225"/>
      <c r="PDA48" s="220"/>
      <c r="PDB48" s="221"/>
      <c r="PDC48" s="222"/>
      <c r="PDD48" s="222"/>
      <c r="PDE48" s="223"/>
      <c r="PDF48" s="223"/>
      <c r="PDG48" s="224"/>
      <c r="PDH48" s="223"/>
      <c r="PDI48" s="223"/>
      <c r="PDJ48" s="223"/>
      <c r="PDK48" s="223"/>
      <c r="PDL48" s="225"/>
      <c r="PDM48" s="220"/>
      <c r="PDN48" s="221"/>
      <c r="PDO48" s="222"/>
      <c r="PDP48" s="222"/>
      <c r="PDQ48" s="223"/>
      <c r="PDR48" s="223"/>
      <c r="PDS48" s="224"/>
      <c r="PDT48" s="223"/>
      <c r="PDU48" s="223"/>
      <c r="PDV48" s="223"/>
      <c r="PDW48" s="223"/>
      <c r="PDX48" s="225"/>
      <c r="PDY48" s="220"/>
      <c r="PDZ48" s="221"/>
      <c r="PEA48" s="222"/>
      <c r="PEB48" s="222"/>
      <c r="PEC48" s="223"/>
      <c r="PED48" s="223"/>
      <c r="PEE48" s="224"/>
      <c r="PEF48" s="223"/>
      <c r="PEG48" s="223"/>
      <c r="PEH48" s="223"/>
      <c r="PEI48" s="223"/>
      <c r="PEJ48" s="225"/>
      <c r="PEK48" s="220"/>
      <c r="PEL48" s="221"/>
      <c r="PEM48" s="222"/>
      <c r="PEN48" s="222"/>
      <c r="PEO48" s="223"/>
      <c r="PEP48" s="223"/>
      <c r="PEQ48" s="224"/>
      <c r="PER48" s="223"/>
      <c r="PES48" s="223"/>
      <c r="PET48" s="223"/>
      <c r="PEU48" s="223"/>
      <c r="PEV48" s="225"/>
      <c r="PEW48" s="220"/>
      <c r="PEX48" s="221"/>
      <c r="PEY48" s="222"/>
      <c r="PEZ48" s="222"/>
      <c r="PFA48" s="223"/>
      <c r="PFB48" s="223"/>
      <c r="PFC48" s="224"/>
      <c r="PFD48" s="223"/>
      <c r="PFE48" s="223"/>
      <c r="PFF48" s="223"/>
      <c r="PFG48" s="223"/>
      <c r="PFH48" s="225"/>
      <c r="PFI48" s="220"/>
      <c r="PFJ48" s="221"/>
      <c r="PFK48" s="222"/>
      <c r="PFL48" s="222"/>
      <c r="PFM48" s="223"/>
      <c r="PFN48" s="223"/>
      <c r="PFO48" s="224"/>
      <c r="PFP48" s="223"/>
      <c r="PFQ48" s="223"/>
      <c r="PFR48" s="223"/>
      <c r="PFS48" s="223"/>
      <c r="PFT48" s="225"/>
      <c r="PFU48" s="220"/>
      <c r="PFV48" s="221"/>
      <c r="PFW48" s="222"/>
      <c r="PFX48" s="222"/>
      <c r="PFY48" s="223"/>
      <c r="PFZ48" s="223"/>
      <c r="PGA48" s="224"/>
      <c r="PGB48" s="223"/>
      <c r="PGC48" s="223"/>
      <c r="PGD48" s="223"/>
      <c r="PGE48" s="223"/>
      <c r="PGF48" s="225"/>
      <c r="PGG48" s="220"/>
      <c r="PGH48" s="221"/>
      <c r="PGI48" s="222"/>
      <c r="PGJ48" s="222"/>
      <c r="PGK48" s="223"/>
      <c r="PGL48" s="223"/>
      <c r="PGM48" s="224"/>
      <c r="PGN48" s="223"/>
      <c r="PGO48" s="223"/>
      <c r="PGP48" s="223"/>
      <c r="PGQ48" s="223"/>
      <c r="PGR48" s="225"/>
      <c r="PGS48" s="220"/>
      <c r="PGT48" s="221"/>
      <c r="PGU48" s="222"/>
      <c r="PGV48" s="222"/>
      <c r="PGW48" s="223"/>
      <c r="PGX48" s="223"/>
      <c r="PGY48" s="224"/>
      <c r="PGZ48" s="223"/>
      <c r="PHA48" s="223"/>
      <c r="PHB48" s="223"/>
      <c r="PHC48" s="223"/>
      <c r="PHD48" s="225"/>
      <c r="PHE48" s="220"/>
      <c r="PHF48" s="221"/>
      <c r="PHG48" s="222"/>
      <c r="PHH48" s="222"/>
      <c r="PHI48" s="223"/>
      <c r="PHJ48" s="223"/>
      <c r="PHK48" s="224"/>
      <c r="PHL48" s="223"/>
      <c r="PHM48" s="223"/>
      <c r="PHN48" s="223"/>
      <c r="PHO48" s="223"/>
      <c r="PHP48" s="225"/>
      <c r="PHQ48" s="220"/>
      <c r="PHR48" s="221"/>
      <c r="PHS48" s="222"/>
      <c r="PHT48" s="222"/>
      <c r="PHU48" s="223"/>
      <c r="PHV48" s="223"/>
      <c r="PHW48" s="224"/>
      <c r="PHX48" s="223"/>
      <c r="PHY48" s="223"/>
      <c r="PHZ48" s="223"/>
      <c r="PIA48" s="223"/>
      <c r="PIB48" s="225"/>
      <c r="PIC48" s="220"/>
      <c r="PID48" s="221"/>
      <c r="PIE48" s="222"/>
      <c r="PIF48" s="222"/>
      <c r="PIG48" s="223"/>
      <c r="PIH48" s="223"/>
      <c r="PII48" s="224"/>
      <c r="PIJ48" s="223"/>
      <c r="PIK48" s="223"/>
      <c r="PIL48" s="223"/>
      <c r="PIM48" s="223"/>
      <c r="PIN48" s="225"/>
      <c r="PIO48" s="220"/>
      <c r="PIP48" s="221"/>
      <c r="PIQ48" s="222"/>
      <c r="PIR48" s="222"/>
      <c r="PIS48" s="223"/>
      <c r="PIT48" s="223"/>
      <c r="PIU48" s="224"/>
      <c r="PIV48" s="223"/>
      <c r="PIW48" s="223"/>
      <c r="PIX48" s="223"/>
      <c r="PIY48" s="223"/>
      <c r="PIZ48" s="225"/>
      <c r="PJA48" s="220"/>
      <c r="PJB48" s="221"/>
      <c r="PJC48" s="222"/>
      <c r="PJD48" s="222"/>
      <c r="PJE48" s="223"/>
      <c r="PJF48" s="223"/>
      <c r="PJG48" s="224"/>
      <c r="PJH48" s="223"/>
      <c r="PJI48" s="223"/>
      <c r="PJJ48" s="223"/>
      <c r="PJK48" s="223"/>
      <c r="PJL48" s="225"/>
      <c r="PJM48" s="220"/>
      <c r="PJN48" s="221"/>
      <c r="PJO48" s="222"/>
      <c r="PJP48" s="222"/>
      <c r="PJQ48" s="223"/>
      <c r="PJR48" s="223"/>
      <c r="PJS48" s="224"/>
      <c r="PJT48" s="223"/>
      <c r="PJU48" s="223"/>
      <c r="PJV48" s="223"/>
      <c r="PJW48" s="223"/>
      <c r="PJX48" s="225"/>
      <c r="PJY48" s="220"/>
      <c r="PJZ48" s="221"/>
      <c r="PKA48" s="222"/>
      <c r="PKB48" s="222"/>
      <c r="PKC48" s="223"/>
      <c r="PKD48" s="223"/>
      <c r="PKE48" s="224"/>
      <c r="PKF48" s="223"/>
      <c r="PKG48" s="223"/>
      <c r="PKH48" s="223"/>
      <c r="PKI48" s="223"/>
      <c r="PKJ48" s="225"/>
      <c r="PKK48" s="220"/>
      <c r="PKL48" s="221"/>
      <c r="PKM48" s="222"/>
      <c r="PKN48" s="222"/>
      <c r="PKO48" s="223"/>
      <c r="PKP48" s="223"/>
      <c r="PKQ48" s="224"/>
      <c r="PKR48" s="223"/>
      <c r="PKS48" s="223"/>
      <c r="PKT48" s="223"/>
      <c r="PKU48" s="223"/>
      <c r="PKV48" s="225"/>
      <c r="PKW48" s="220"/>
      <c r="PKX48" s="221"/>
      <c r="PKY48" s="222"/>
      <c r="PKZ48" s="222"/>
      <c r="PLA48" s="223"/>
      <c r="PLB48" s="223"/>
      <c r="PLC48" s="224"/>
      <c r="PLD48" s="223"/>
      <c r="PLE48" s="223"/>
      <c r="PLF48" s="223"/>
      <c r="PLG48" s="223"/>
      <c r="PLH48" s="225"/>
      <c r="PLI48" s="220"/>
      <c r="PLJ48" s="221"/>
      <c r="PLK48" s="222"/>
      <c r="PLL48" s="222"/>
      <c r="PLM48" s="223"/>
      <c r="PLN48" s="223"/>
      <c r="PLO48" s="224"/>
      <c r="PLP48" s="223"/>
      <c r="PLQ48" s="223"/>
      <c r="PLR48" s="223"/>
      <c r="PLS48" s="223"/>
      <c r="PLT48" s="225"/>
      <c r="PLU48" s="220"/>
      <c r="PLV48" s="221"/>
      <c r="PLW48" s="222"/>
      <c r="PLX48" s="222"/>
      <c r="PLY48" s="223"/>
      <c r="PLZ48" s="223"/>
      <c r="PMA48" s="224"/>
      <c r="PMB48" s="223"/>
      <c r="PMC48" s="223"/>
      <c r="PMD48" s="223"/>
      <c r="PME48" s="223"/>
      <c r="PMF48" s="225"/>
      <c r="PMG48" s="220"/>
      <c r="PMH48" s="221"/>
      <c r="PMI48" s="222"/>
      <c r="PMJ48" s="222"/>
      <c r="PMK48" s="223"/>
      <c r="PML48" s="223"/>
      <c r="PMM48" s="224"/>
      <c r="PMN48" s="223"/>
      <c r="PMO48" s="223"/>
      <c r="PMP48" s="223"/>
      <c r="PMQ48" s="223"/>
      <c r="PMR48" s="225"/>
      <c r="PMS48" s="220"/>
      <c r="PMT48" s="221"/>
      <c r="PMU48" s="222"/>
      <c r="PMV48" s="222"/>
      <c r="PMW48" s="223"/>
      <c r="PMX48" s="223"/>
      <c r="PMY48" s="224"/>
      <c r="PMZ48" s="223"/>
      <c r="PNA48" s="223"/>
      <c r="PNB48" s="223"/>
      <c r="PNC48" s="223"/>
      <c r="PND48" s="225"/>
      <c r="PNE48" s="220"/>
      <c r="PNF48" s="221"/>
      <c r="PNG48" s="222"/>
      <c r="PNH48" s="222"/>
      <c r="PNI48" s="223"/>
      <c r="PNJ48" s="223"/>
      <c r="PNK48" s="224"/>
      <c r="PNL48" s="223"/>
      <c r="PNM48" s="223"/>
      <c r="PNN48" s="223"/>
      <c r="PNO48" s="223"/>
      <c r="PNP48" s="225"/>
      <c r="PNQ48" s="220"/>
      <c r="PNR48" s="221"/>
      <c r="PNS48" s="222"/>
      <c r="PNT48" s="222"/>
      <c r="PNU48" s="223"/>
      <c r="PNV48" s="223"/>
      <c r="PNW48" s="224"/>
      <c r="PNX48" s="223"/>
      <c r="PNY48" s="223"/>
      <c r="PNZ48" s="223"/>
      <c r="POA48" s="223"/>
      <c r="POB48" s="225"/>
      <c r="POC48" s="220"/>
      <c r="POD48" s="221"/>
      <c r="POE48" s="222"/>
      <c r="POF48" s="222"/>
      <c r="POG48" s="223"/>
      <c r="POH48" s="223"/>
      <c r="POI48" s="224"/>
      <c r="POJ48" s="223"/>
      <c r="POK48" s="223"/>
      <c r="POL48" s="223"/>
      <c r="POM48" s="223"/>
      <c r="PON48" s="225"/>
      <c r="POO48" s="220"/>
      <c r="POP48" s="221"/>
      <c r="POQ48" s="222"/>
      <c r="POR48" s="222"/>
      <c r="POS48" s="223"/>
      <c r="POT48" s="223"/>
      <c r="POU48" s="224"/>
      <c r="POV48" s="223"/>
      <c r="POW48" s="223"/>
      <c r="POX48" s="223"/>
      <c r="POY48" s="223"/>
      <c r="POZ48" s="225"/>
      <c r="PPA48" s="220"/>
      <c r="PPB48" s="221"/>
      <c r="PPC48" s="222"/>
      <c r="PPD48" s="222"/>
      <c r="PPE48" s="223"/>
      <c r="PPF48" s="223"/>
      <c r="PPG48" s="224"/>
      <c r="PPH48" s="223"/>
      <c r="PPI48" s="223"/>
      <c r="PPJ48" s="223"/>
      <c r="PPK48" s="223"/>
      <c r="PPL48" s="225"/>
      <c r="PPM48" s="220"/>
      <c r="PPN48" s="221"/>
      <c r="PPO48" s="222"/>
      <c r="PPP48" s="222"/>
      <c r="PPQ48" s="223"/>
      <c r="PPR48" s="223"/>
      <c r="PPS48" s="224"/>
      <c r="PPT48" s="223"/>
      <c r="PPU48" s="223"/>
      <c r="PPV48" s="223"/>
      <c r="PPW48" s="223"/>
      <c r="PPX48" s="225"/>
      <c r="PPY48" s="220"/>
      <c r="PPZ48" s="221"/>
      <c r="PQA48" s="222"/>
      <c r="PQB48" s="222"/>
      <c r="PQC48" s="223"/>
      <c r="PQD48" s="223"/>
      <c r="PQE48" s="224"/>
      <c r="PQF48" s="223"/>
      <c r="PQG48" s="223"/>
      <c r="PQH48" s="223"/>
      <c r="PQI48" s="223"/>
      <c r="PQJ48" s="225"/>
      <c r="PQK48" s="220"/>
      <c r="PQL48" s="221"/>
      <c r="PQM48" s="222"/>
      <c r="PQN48" s="222"/>
      <c r="PQO48" s="223"/>
      <c r="PQP48" s="223"/>
      <c r="PQQ48" s="224"/>
      <c r="PQR48" s="223"/>
      <c r="PQS48" s="223"/>
      <c r="PQT48" s="223"/>
      <c r="PQU48" s="223"/>
      <c r="PQV48" s="225"/>
      <c r="PQW48" s="220"/>
      <c r="PQX48" s="221"/>
      <c r="PQY48" s="222"/>
      <c r="PQZ48" s="222"/>
      <c r="PRA48" s="223"/>
      <c r="PRB48" s="223"/>
      <c r="PRC48" s="224"/>
      <c r="PRD48" s="223"/>
      <c r="PRE48" s="223"/>
      <c r="PRF48" s="223"/>
      <c r="PRG48" s="223"/>
      <c r="PRH48" s="225"/>
      <c r="PRI48" s="220"/>
      <c r="PRJ48" s="221"/>
      <c r="PRK48" s="222"/>
      <c r="PRL48" s="222"/>
      <c r="PRM48" s="223"/>
      <c r="PRN48" s="223"/>
      <c r="PRO48" s="224"/>
      <c r="PRP48" s="223"/>
      <c r="PRQ48" s="223"/>
      <c r="PRR48" s="223"/>
      <c r="PRS48" s="223"/>
      <c r="PRT48" s="225"/>
      <c r="PRU48" s="220"/>
      <c r="PRV48" s="221"/>
      <c r="PRW48" s="222"/>
      <c r="PRX48" s="222"/>
      <c r="PRY48" s="223"/>
      <c r="PRZ48" s="223"/>
      <c r="PSA48" s="224"/>
      <c r="PSB48" s="223"/>
      <c r="PSC48" s="223"/>
      <c r="PSD48" s="223"/>
      <c r="PSE48" s="223"/>
      <c r="PSF48" s="225"/>
      <c r="PSG48" s="220"/>
      <c r="PSH48" s="221"/>
      <c r="PSI48" s="222"/>
      <c r="PSJ48" s="222"/>
      <c r="PSK48" s="223"/>
      <c r="PSL48" s="223"/>
      <c r="PSM48" s="224"/>
      <c r="PSN48" s="223"/>
      <c r="PSO48" s="223"/>
      <c r="PSP48" s="223"/>
      <c r="PSQ48" s="223"/>
      <c r="PSR48" s="225"/>
      <c r="PSS48" s="220"/>
      <c r="PST48" s="221"/>
      <c r="PSU48" s="222"/>
      <c r="PSV48" s="222"/>
      <c r="PSW48" s="223"/>
      <c r="PSX48" s="223"/>
      <c r="PSY48" s="224"/>
      <c r="PSZ48" s="223"/>
      <c r="PTA48" s="223"/>
      <c r="PTB48" s="223"/>
      <c r="PTC48" s="223"/>
      <c r="PTD48" s="225"/>
      <c r="PTE48" s="220"/>
      <c r="PTF48" s="221"/>
      <c r="PTG48" s="222"/>
      <c r="PTH48" s="222"/>
      <c r="PTI48" s="223"/>
      <c r="PTJ48" s="223"/>
      <c r="PTK48" s="224"/>
      <c r="PTL48" s="223"/>
      <c r="PTM48" s="223"/>
      <c r="PTN48" s="223"/>
      <c r="PTO48" s="223"/>
      <c r="PTP48" s="225"/>
      <c r="PTQ48" s="220"/>
      <c r="PTR48" s="221"/>
      <c r="PTS48" s="222"/>
      <c r="PTT48" s="222"/>
      <c r="PTU48" s="223"/>
      <c r="PTV48" s="223"/>
      <c r="PTW48" s="224"/>
      <c r="PTX48" s="223"/>
      <c r="PTY48" s="223"/>
      <c r="PTZ48" s="223"/>
      <c r="PUA48" s="223"/>
      <c r="PUB48" s="225"/>
      <c r="PUC48" s="220"/>
      <c r="PUD48" s="221"/>
      <c r="PUE48" s="222"/>
      <c r="PUF48" s="222"/>
      <c r="PUG48" s="223"/>
      <c r="PUH48" s="223"/>
      <c r="PUI48" s="224"/>
      <c r="PUJ48" s="223"/>
      <c r="PUK48" s="223"/>
      <c r="PUL48" s="223"/>
      <c r="PUM48" s="223"/>
      <c r="PUN48" s="225"/>
      <c r="PUO48" s="220"/>
      <c r="PUP48" s="221"/>
      <c r="PUQ48" s="222"/>
      <c r="PUR48" s="222"/>
      <c r="PUS48" s="223"/>
      <c r="PUT48" s="223"/>
      <c r="PUU48" s="224"/>
      <c r="PUV48" s="223"/>
      <c r="PUW48" s="223"/>
      <c r="PUX48" s="223"/>
      <c r="PUY48" s="223"/>
      <c r="PUZ48" s="225"/>
      <c r="PVA48" s="220"/>
      <c r="PVB48" s="221"/>
      <c r="PVC48" s="222"/>
      <c r="PVD48" s="222"/>
      <c r="PVE48" s="223"/>
      <c r="PVF48" s="223"/>
      <c r="PVG48" s="224"/>
      <c r="PVH48" s="223"/>
      <c r="PVI48" s="223"/>
      <c r="PVJ48" s="223"/>
      <c r="PVK48" s="223"/>
      <c r="PVL48" s="225"/>
      <c r="PVM48" s="220"/>
      <c r="PVN48" s="221"/>
      <c r="PVO48" s="222"/>
      <c r="PVP48" s="222"/>
      <c r="PVQ48" s="223"/>
      <c r="PVR48" s="223"/>
      <c r="PVS48" s="224"/>
      <c r="PVT48" s="223"/>
      <c r="PVU48" s="223"/>
      <c r="PVV48" s="223"/>
      <c r="PVW48" s="223"/>
      <c r="PVX48" s="225"/>
      <c r="PVY48" s="220"/>
      <c r="PVZ48" s="221"/>
      <c r="PWA48" s="222"/>
      <c r="PWB48" s="222"/>
      <c r="PWC48" s="223"/>
      <c r="PWD48" s="223"/>
      <c r="PWE48" s="224"/>
      <c r="PWF48" s="223"/>
      <c r="PWG48" s="223"/>
      <c r="PWH48" s="223"/>
      <c r="PWI48" s="223"/>
      <c r="PWJ48" s="225"/>
      <c r="PWK48" s="220"/>
      <c r="PWL48" s="221"/>
      <c r="PWM48" s="222"/>
      <c r="PWN48" s="222"/>
      <c r="PWO48" s="223"/>
      <c r="PWP48" s="223"/>
      <c r="PWQ48" s="224"/>
      <c r="PWR48" s="223"/>
      <c r="PWS48" s="223"/>
      <c r="PWT48" s="223"/>
      <c r="PWU48" s="223"/>
      <c r="PWV48" s="225"/>
      <c r="PWW48" s="220"/>
      <c r="PWX48" s="221"/>
      <c r="PWY48" s="222"/>
      <c r="PWZ48" s="222"/>
      <c r="PXA48" s="223"/>
      <c r="PXB48" s="223"/>
      <c r="PXC48" s="224"/>
      <c r="PXD48" s="223"/>
      <c r="PXE48" s="223"/>
      <c r="PXF48" s="223"/>
      <c r="PXG48" s="223"/>
      <c r="PXH48" s="225"/>
      <c r="PXI48" s="220"/>
      <c r="PXJ48" s="221"/>
      <c r="PXK48" s="222"/>
      <c r="PXL48" s="222"/>
      <c r="PXM48" s="223"/>
      <c r="PXN48" s="223"/>
      <c r="PXO48" s="224"/>
      <c r="PXP48" s="223"/>
      <c r="PXQ48" s="223"/>
      <c r="PXR48" s="223"/>
      <c r="PXS48" s="223"/>
      <c r="PXT48" s="225"/>
      <c r="PXU48" s="220"/>
      <c r="PXV48" s="221"/>
      <c r="PXW48" s="222"/>
      <c r="PXX48" s="222"/>
      <c r="PXY48" s="223"/>
      <c r="PXZ48" s="223"/>
      <c r="PYA48" s="224"/>
      <c r="PYB48" s="223"/>
      <c r="PYC48" s="223"/>
      <c r="PYD48" s="223"/>
      <c r="PYE48" s="223"/>
      <c r="PYF48" s="225"/>
      <c r="PYG48" s="220"/>
      <c r="PYH48" s="221"/>
      <c r="PYI48" s="222"/>
      <c r="PYJ48" s="222"/>
      <c r="PYK48" s="223"/>
      <c r="PYL48" s="223"/>
      <c r="PYM48" s="224"/>
      <c r="PYN48" s="223"/>
      <c r="PYO48" s="223"/>
      <c r="PYP48" s="223"/>
      <c r="PYQ48" s="223"/>
      <c r="PYR48" s="225"/>
      <c r="PYS48" s="220"/>
      <c r="PYT48" s="221"/>
      <c r="PYU48" s="222"/>
      <c r="PYV48" s="222"/>
      <c r="PYW48" s="223"/>
      <c r="PYX48" s="223"/>
      <c r="PYY48" s="224"/>
      <c r="PYZ48" s="223"/>
      <c r="PZA48" s="223"/>
      <c r="PZB48" s="223"/>
      <c r="PZC48" s="223"/>
      <c r="PZD48" s="225"/>
      <c r="PZE48" s="220"/>
      <c r="PZF48" s="221"/>
      <c r="PZG48" s="222"/>
      <c r="PZH48" s="222"/>
      <c r="PZI48" s="223"/>
      <c r="PZJ48" s="223"/>
      <c r="PZK48" s="224"/>
      <c r="PZL48" s="223"/>
      <c r="PZM48" s="223"/>
      <c r="PZN48" s="223"/>
      <c r="PZO48" s="223"/>
      <c r="PZP48" s="225"/>
      <c r="PZQ48" s="220"/>
      <c r="PZR48" s="221"/>
      <c r="PZS48" s="222"/>
      <c r="PZT48" s="222"/>
      <c r="PZU48" s="223"/>
      <c r="PZV48" s="223"/>
      <c r="PZW48" s="224"/>
      <c r="PZX48" s="223"/>
      <c r="PZY48" s="223"/>
      <c r="PZZ48" s="223"/>
      <c r="QAA48" s="223"/>
      <c r="QAB48" s="225"/>
      <c r="QAC48" s="220"/>
      <c r="QAD48" s="221"/>
      <c r="QAE48" s="222"/>
      <c r="QAF48" s="222"/>
      <c r="QAG48" s="223"/>
      <c r="QAH48" s="223"/>
      <c r="QAI48" s="224"/>
      <c r="QAJ48" s="223"/>
      <c r="QAK48" s="223"/>
      <c r="QAL48" s="223"/>
      <c r="QAM48" s="223"/>
      <c r="QAN48" s="225"/>
      <c r="QAO48" s="220"/>
      <c r="QAP48" s="221"/>
      <c r="QAQ48" s="222"/>
      <c r="QAR48" s="222"/>
      <c r="QAS48" s="223"/>
      <c r="QAT48" s="223"/>
      <c r="QAU48" s="224"/>
      <c r="QAV48" s="223"/>
      <c r="QAW48" s="223"/>
      <c r="QAX48" s="223"/>
      <c r="QAY48" s="223"/>
      <c r="QAZ48" s="225"/>
      <c r="QBA48" s="220"/>
      <c r="QBB48" s="221"/>
      <c r="QBC48" s="222"/>
      <c r="QBD48" s="222"/>
      <c r="QBE48" s="223"/>
      <c r="QBF48" s="223"/>
      <c r="QBG48" s="224"/>
      <c r="QBH48" s="223"/>
      <c r="QBI48" s="223"/>
      <c r="QBJ48" s="223"/>
      <c r="QBK48" s="223"/>
      <c r="QBL48" s="225"/>
      <c r="QBM48" s="220"/>
      <c r="QBN48" s="221"/>
      <c r="QBO48" s="222"/>
      <c r="QBP48" s="222"/>
      <c r="QBQ48" s="223"/>
      <c r="QBR48" s="223"/>
      <c r="QBS48" s="224"/>
      <c r="QBT48" s="223"/>
      <c r="QBU48" s="223"/>
      <c r="QBV48" s="223"/>
      <c r="QBW48" s="223"/>
      <c r="QBX48" s="225"/>
      <c r="QBY48" s="220"/>
      <c r="QBZ48" s="221"/>
      <c r="QCA48" s="222"/>
      <c r="QCB48" s="222"/>
      <c r="QCC48" s="223"/>
      <c r="QCD48" s="223"/>
      <c r="QCE48" s="224"/>
      <c r="QCF48" s="223"/>
      <c r="QCG48" s="223"/>
      <c r="QCH48" s="223"/>
      <c r="QCI48" s="223"/>
      <c r="QCJ48" s="225"/>
      <c r="QCK48" s="220"/>
      <c r="QCL48" s="221"/>
      <c r="QCM48" s="222"/>
      <c r="QCN48" s="222"/>
      <c r="QCO48" s="223"/>
      <c r="QCP48" s="223"/>
      <c r="QCQ48" s="224"/>
      <c r="QCR48" s="223"/>
      <c r="QCS48" s="223"/>
      <c r="QCT48" s="223"/>
      <c r="QCU48" s="223"/>
      <c r="QCV48" s="225"/>
      <c r="QCW48" s="220"/>
      <c r="QCX48" s="221"/>
      <c r="QCY48" s="222"/>
      <c r="QCZ48" s="222"/>
      <c r="QDA48" s="223"/>
      <c r="QDB48" s="223"/>
      <c r="QDC48" s="224"/>
      <c r="QDD48" s="223"/>
      <c r="QDE48" s="223"/>
      <c r="QDF48" s="223"/>
      <c r="QDG48" s="223"/>
      <c r="QDH48" s="225"/>
      <c r="QDI48" s="220"/>
      <c r="QDJ48" s="221"/>
      <c r="QDK48" s="222"/>
      <c r="QDL48" s="222"/>
      <c r="QDM48" s="223"/>
      <c r="QDN48" s="223"/>
      <c r="QDO48" s="224"/>
      <c r="QDP48" s="223"/>
      <c r="QDQ48" s="223"/>
      <c r="QDR48" s="223"/>
      <c r="QDS48" s="223"/>
      <c r="QDT48" s="225"/>
      <c r="QDU48" s="220"/>
      <c r="QDV48" s="221"/>
      <c r="QDW48" s="222"/>
      <c r="QDX48" s="222"/>
      <c r="QDY48" s="223"/>
      <c r="QDZ48" s="223"/>
      <c r="QEA48" s="224"/>
      <c r="QEB48" s="223"/>
      <c r="QEC48" s="223"/>
      <c r="QED48" s="223"/>
      <c r="QEE48" s="223"/>
      <c r="QEF48" s="225"/>
      <c r="QEG48" s="220"/>
      <c r="QEH48" s="221"/>
      <c r="QEI48" s="222"/>
      <c r="QEJ48" s="222"/>
      <c r="QEK48" s="223"/>
      <c r="QEL48" s="223"/>
      <c r="QEM48" s="224"/>
      <c r="QEN48" s="223"/>
      <c r="QEO48" s="223"/>
      <c r="QEP48" s="223"/>
      <c r="QEQ48" s="223"/>
      <c r="QER48" s="225"/>
      <c r="QES48" s="220"/>
      <c r="QET48" s="221"/>
      <c r="QEU48" s="222"/>
      <c r="QEV48" s="222"/>
      <c r="QEW48" s="223"/>
      <c r="QEX48" s="223"/>
      <c r="QEY48" s="224"/>
      <c r="QEZ48" s="223"/>
      <c r="QFA48" s="223"/>
      <c r="QFB48" s="223"/>
      <c r="QFC48" s="223"/>
      <c r="QFD48" s="225"/>
      <c r="QFE48" s="220"/>
      <c r="QFF48" s="221"/>
      <c r="QFG48" s="222"/>
      <c r="QFH48" s="222"/>
      <c r="QFI48" s="223"/>
      <c r="QFJ48" s="223"/>
      <c r="QFK48" s="224"/>
      <c r="QFL48" s="223"/>
      <c r="QFM48" s="223"/>
      <c r="QFN48" s="223"/>
      <c r="QFO48" s="223"/>
      <c r="QFP48" s="225"/>
      <c r="QFQ48" s="220"/>
      <c r="QFR48" s="221"/>
      <c r="QFS48" s="222"/>
      <c r="QFT48" s="222"/>
      <c r="QFU48" s="223"/>
      <c r="QFV48" s="223"/>
      <c r="QFW48" s="224"/>
      <c r="QFX48" s="223"/>
      <c r="QFY48" s="223"/>
      <c r="QFZ48" s="223"/>
      <c r="QGA48" s="223"/>
      <c r="QGB48" s="225"/>
      <c r="QGC48" s="220"/>
      <c r="QGD48" s="221"/>
      <c r="QGE48" s="222"/>
      <c r="QGF48" s="222"/>
      <c r="QGG48" s="223"/>
      <c r="QGH48" s="223"/>
      <c r="QGI48" s="224"/>
      <c r="QGJ48" s="223"/>
      <c r="QGK48" s="223"/>
      <c r="QGL48" s="223"/>
      <c r="QGM48" s="223"/>
      <c r="QGN48" s="225"/>
      <c r="QGO48" s="220"/>
      <c r="QGP48" s="221"/>
      <c r="QGQ48" s="222"/>
      <c r="QGR48" s="222"/>
      <c r="QGS48" s="223"/>
      <c r="QGT48" s="223"/>
      <c r="QGU48" s="224"/>
      <c r="QGV48" s="223"/>
      <c r="QGW48" s="223"/>
      <c r="QGX48" s="223"/>
      <c r="QGY48" s="223"/>
      <c r="QGZ48" s="225"/>
      <c r="QHA48" s="220"/>
      <c r="QHB48" s="221"/>
      <c r="QHC48" s="222"/>
      <c r="QHD48" s="222"/>
      <c r="QHE48" s="223"/>
      <c r="QHF48" s="223"/>
      <c r="QHG48" s="224"/>
      <c r="QHH48" s="223"/>
      <c r="QHI48" s="223"/>
      <c r="QHJ48" s="223"/>
      <c r="QHK48" s="223"/>
      <c r="QHL48" s="225"/>
      <c r="QHM48" s="220"/>
      <c r="QHN48" s="221"/>
      <c r="QHO48" s="222"/>
      <c r="QHP48" s="222"/>
      <c r="QHQ48" s="223"/>
      <c r="QHR48" s="223"/>
      <c r="QHS48" s="224"/>
      <c r="QHT48" s="223"/>
      <c r="QHU48" s="223"/>
      <c r="QHV48" s="223"/>
      <c r="QHW48" s="223"/>
      <c r="QHX48" s="225"/>
      <c r="QHY48" s="220"/>
      <c r="QHZ48" s="221"/>
      <c r="QIA48" s="222"/>
      <c r="QIB48" s="222"/>
      <c r="QIC48" s="223"/>
      <c r="QID48" s="223"/>
      <c r="QIE48" s="224"/>
      <c r="QIF48" s="223"/>
      <c r="QIG48" s="223"/>
      <c r="QIH48" s="223"/>
      <c r="QII48" s="223"/>
      <c r="QIJ48" s="225"/>
      <c r="QIK48" s="220"/>
      <c r="QIL48" s="221"/>
      <c r="QIM48" s="222"/>
      <c r="QIN48" s="222"/>
      <c r="QIO48" s="223"/>
      <c r="QIP48" s="223"/>
      <c r="QIQ48" s="224"/>
      <c r="QIR48" s="223"/>
      <c r="QIS48" s="223"/>
      <c r="QIT48" s="223"/>
      <c r="QIU48" s="223"/>
      <c r="QIV48" s="225"/>
      <c r="QIW48" s="220"/>
      <c r="QIX48" s="221"/>
      <c r="QIY48" s="222"/>
      <c r="QIZ48" s="222"/>
      <c r="QJA48" s="223"/>
      <c r="QJB48" s="223"/>
      <c r="QJC48" s="224"/>
      <c r="QJD48" s="223"/>
      <c r="QJE48" s="223"/>
      <c r="QJF48" s="223"/>
      <c r="QJG48" s="223"/>
      <c r="QJH48" s="225"/>
      <c r="QJI48" s="220"/>
      <c r="QJJ48" s="221"/>
      <c r="QJK48" s="222"/>
      <c r="QJL48" s="222"/>
      <c r="QJM48" s="223"/>
      <c r="QJN48" s="223"/>
      <c r="QJO48" s="224"/>
      <c r="QJP48" s="223"/>
      <c r="QJQ48" s="223"/>
      <c r="QJR48" s="223"/>
      <c r="QJS48" s="223"/>
      <c r="QJT48" s="225"/>
      <c r="QJU48" s="220"/>
      <c r="QJV48" s="221"/>
      <c r="QJW48" s="222"/>
      <c r="QJX48" s="222"/>
      <c r="QJY48" s="223"/>
      <c r="QJZ48" s="223"/>
      <c r="QKA48" s="224"/>
      <c r="QKB48" s="223"/>
      <c r="QKC48" s="223"/>
      <c r="QKD48" s="223"/>
      <c r="QKE48" s="223"/>
      <c r="QKF48" s="225"/>
      <c r="QKG48" s="220"/>
      <c r="QKH48" s="221"/>
      <c r="QKI48" s="222"/>
      <c r="QKJ48" s="222"/>
      <c r="QKK48" s="223"/>
      <c r="QKL48" s="223"/>
      <c r="QKM48" s="224"/>
      <c r="QKN48" s="223"/>
      <c r="QKO48" s="223"/>
      <c r="QKP48" s="223"/>
      <c r="QKQ48" s="223"/>
      <c r="QKR48" s="225"/>
      <c r="QKS48" s="220"/>
      <c r="QKT48" s="221"/>
      <c r="QKU48" s="222"/>
      <c r="QKV48" s="222"/>
      <c r="QKW48" s="223"/>
      <c r="QKX48" s="223"/>
      <c r="QKY48" s="224"/>
      <c r="QKZ48" s="223"/>
      <c r="QLA48" s="223"/>
      <c r="QLB48" s="223"/>
      <c r="QLC48" s="223"/>
      <c r="QLD48" s="225"/>
      <c r="QLE48" s="220"/>
      <c r="QLF48" s="221"/>
      <c r="QLG48" s="222"/>
      <c r="QLH48" s="222"/>
      <c r="QLI48" s="223"/>
      <c r="QLJ48" s="223"/>
      <c r="QLK48" s="224"/>
      <c r="QLL48" s="223"/>
      <c r="QLM48" s="223"/>
      <c r="QLN48" s="223"/>
      <c r="QLO48" s="223"/>
      <c r="QLP48" s="225"/>
      <c r="QLQ48" s="220"/>
      <c r="QLR48" s="221"/>
      <c r="QLS48" s="222"/>
      <c r="QLT48" s="222"/>
      <c r="QLU48" s="223"/>
      <c r="QLV48" s="223"/>
      <c r="QLW48" s="224"/>
      <c r="QLX48" s="223"/>
      <c r="QLY48" s="223"/>
      <c r="QLZ48" s="223"/>
      <c r="QMA48" s="223"/>
      <c r="QMB48" s="225"/>
      <c r="QMC48" s="220"/>
      <c r="QMD48" s="221"/>
      <c r="QME48" s="222"/>
      <c r="QMF48" s="222"/>
      <c r="QMG48" s="223"/>
      <c r="QMH48" s="223"/>
      <c r="QMI48" s="224"/>
      <c r="QMJ48" s="223"/>
      <c r="QMK48" s="223"/>
      <c r="QML48" s="223"/>
      <c r="QMM48" s="223"/>
      <c r="QMN48" s="225"/>
      <c r="QMO48" s="220"/>
      <c r="QMP48" s="221"/>
      <c r="QMQ48" s="222"/>
      <c r="QMR48" s="222"/>
      <c r="QMS48" s="223"/>
      <c r="QMT48" s="223"/>
      <c r="QMU48" s="224"/>
      <c r="QMV48" s="223"/>
      <c r="QMW48" s="223"/>
      <c r="QMX48" s="223"/>
      <c r="QMY48" s="223"/>
      <c r="QMZ48" s="225"/>
      <c r="QNA48" s="220"/>
      <c r="QNB48" s="221"/>
      <c r="QNC48" s="222"/>
      <c r="QND48" s="222"/>
      <c r="QNE48" s="223"/>
      <c r="QNF48" s="223"/>
      <c r="QNG48" s="224"/>
      <c r="QNH48" s="223"/>
      <c r="QNI48" s="223"/>
      <c r="QNJ48" s="223"/>
      <c r="QNK48" s="223"/>
      <c r="QNL48" s="225"/>
      <c r="QNM48" s="220"/>
      <c r="QNN48" s="221"/>
      <c r="QNO48" s="222"/>
      <c r="QNP48" s="222"/>
      <c r="QNQ48" s="223"/>
      <c r="QNR48" s="223"/>
      <c r="QNS48" s="224"/>
      <c r="QNT48" s="223"/>
      <c r="QNU48" s="223"/>
      <c r="QNV48" s="223"/>
      <c r="QNW48" s="223"/>
      <c r="QNX48" s="225"/>
      <c r="QNY48" s="220"/>
      <c r="QNZ48" s="221"/>
      <c r="QOA48" s="222"/>
      <c r="QOB48" s="222"/>
      <c r="QOC48" s="223"/>
      <c r="QOD48" s="223"/>
      <c r="QOE48" s="224"/>
      <c r="QOF48" s="223"/>
      <c r="QOG48" s="223"/>
      <c r="QOH48" s="223"/>
      <c r="QOI48" s="223"/>
      <c r="QOJ48" s="225"/>
      <c r="QOK48" s="220"/>
      <c r="QOL48" s="221"/>
      <c r="QOM48" s="222"/>
      <c r="QON48" s="222"/>
      <c r="QOO48" s="223"/>
      <c r="QOP48" s="223"/>
      <c r="QOQ48" s="224"/>
      <c r="QOR48" s="223"/>
      <c r="QOS48" s="223"/>
      <c r="QOT48" s="223"/>
      <c r="QOU48" s="223"/>
      <c r="QOV48" s="225"/>
      <c r="QOW48" s="220"/>
      <c r="QOX48" s="221"/>
      <c r="QOY48" s="222"/>
      <c r="QOZ48" s="222"/>
      <c r="QPA48" s="223"/>
      <c r="QPB48" s="223"/>
      <c r="QPC48" s="224"/>
      <c r="QPD48" s="223"/>
      <c r="QPE48" s="223"/>
      <c r="QPF48" s="223"/>
      <c r="QPG48" s="223"/>
      <c r="QPH48" s="225"/>
      <c r="QPI48" s="220"/>
      <c r="QPJ48" s="221"/>
      <c r="QPK48" s="222"/>
      <c r="QPL48" s="222"/>
      <c r="QPM48" s="223"/>
      <c r="QPN48" s="223"/>
      <c r="QPO48" s="224"/>
      <c r="QPP48" s="223"/>
      <c r="QPQ48" s="223"/>
      <c r="QPR48" s="223"/>
      <c r="QPS48" s="223"/>
      <c r="QPT48" s="225"/>
      <c r="QPU48" s="220"/>
      <c r="QPV48" s="221"/>
      <c r="QPW48" s="222"/>
      <c r="QPX48" s="222"/>
      <c r="QPY48" s="223"/>
      <c r="QPZ48" s="223"/>
      <c r="QQA48" s="224"/>
      <c r="QQB48" s="223"/>
      <c r="QQC48" s="223"/>
      <c r="QQD48" s="223"/>
      <c r="QQE48" s="223"/>
      <c r="QQF48" s="225"/>
      <c r="QQG48" s="220"/>
      <c r="QQH48" s="221"/>
      <c r="QQI48" s="222"/>
      <c r="QQJ48" s="222"/>
      <c r="QQK48" s="223"/>
      <c r="QQL48" s="223"/>
      <c r="QQM48" s="224"/>
      <c r="QQN48" s="223"/>
      <c r="QQO48" s="223"/>
      <c r="QQP48" s="223"/>
      <c r="QQQ48" s="223"/>
      <c r="QQR48" s="225"/>
      <c r="QQS48" s="220"/>
      <c r="QQT48" s="221"/>
      <c r="QQU48" s="222"/>
      <c r="QQV48" s="222"/>
      <c r="QQW48" s="223"/>
      <c r="QQX48" s="223"/>
      <c r="QQY48" s="224"/>
      <c r="QQZ48" s="223"/>
      <c r="QRA48" s="223"/>
      <c r="QRB48" s="223"/>
      <c r="QRC48" s="223"/>
      <c r="QRD48" s="225"/>
      <c r="QRE48" s="220"/>
      <c r="QRF48" s="221"/>
      <c r="QRG48" s="222"/>
      <c r="QRH48" s="222"/>
      <c r="QRI48" s="223"/>
      <c r="QRJ48" s="223"/>
      <c r="QRK48" s="224"/>
      <c r="QRL48" s="223"/>
      <c r="QRM48" s="223"/>
      <c r="QRN48" s="223"/>
      <c r="QRO48" s="223"/>
      <c r="QRP48" s="225"/>
      <c r="QRQ48" s="220"/>
      <c r="QRR48" s="221"/>
      <c r="QRS48" s="222"/>
      <c r="QRT48" s="222"/>
      <c r="QRU48" s="223"/>
      <c r="QRV48" s="223"/>
      <c r="QRW48" s="224"/>
      <c r="QRX48" s="223"/>
      <c r="QRY48" s="223"/>
      <c r="QRZ48" s="223"/>
      <c r="QSA48" s="223"/>
      <c r="QSB48" s="225"/>
      <c r="QSC48" s="220"/>
      <c r="QSD48" s="221"/>
      <c r="QSE48" s="222"/>
      <c r="QSF48" s="222"/>
      <c r="QSG48" s="223"/>
      <c r="QSH48" s="223"/>
      <c r="QSI48" s="224"/>
      <c r="QSJ48" s="223"/>
      <c r="QSK48" s="223"/>
      <c r="QSL48" s="223"/>
      <c r="QSM48" s="223"/>
      <c r="QSN48" s="225"/>
      <c r="QSO48" s="220"/>
      <c r="QSP48" s="221"/>
      <c r="QSQ48" s="222"/>
      <c r="QSR48" s="222"/>
      <c r="QSS48" s="223"/>
      <c r="QST48" s="223"/>
      <c r="QSU48" s="224"/>
      <c r="QSV48" s="223"/>
      <c r="QSW48" s="223"/>
      <c r="QSX48" s="223"/>
      <c r="QSY48" s="223"/>
      <c r="QSZ48" s="225"/>
      <c r="QTA48" s="220"/>
      <c r="QTB48" s="221"/>
      <c r="QTC48" s="222"/>
      <c r="QTD48" s="222"/>
      <c r="QTE48" s="223"/>
      <c r="QTF48" s="223"/>
      <c r="QTG48" s="224"/>
      <c r="QTH48" s="223"/>
      <c r="QTI48" s="223"/>
      <c r="QTJ48" s="223"/>
      <c r="QTK48" s="223"/>
      <c r="QTL48" s="225"/>
      <c r="QTM48" s="220"/>
      <c r="QTN48" s="221"/>
      <c r="QTO48" s="222"/>
      <c r="QTP48" s="222"/>
      <c r="QTQ48" s="223"/>
      <c r="QTR48" s="223"/>
      <c r="QTS48" s="224"/>
      <c r="QTT48" s="223"/>
      <c r="QTU48" s="223"/>
      <c r="QTV48" s="223"/>
      <c r="QTW48" s="223"/>
      <c r="QTX48" s="225"/>
      <c r="QTY48" s="220"/>
      <c r="QTZ48" s="221"/>
      <c r="QUA48" s="222"/>
      <c r="QUB48" s="222"/>
      <c r="QUC48" s="223"/>
      <c r="QUD48" s="223"/>
      <c r="QUE48" s="224"/>
      <c r="QUF48" s="223"/>
      <c r="QUG48" s="223"/>
      <c r="QUH48" s="223"/>
      <c r="QUI48" s="223"/>
      <c r="QUJ48" s="225"/>
      <c r="QUK48" s="220"/>
      <c r="QUL48" s="221"/>
      <c r="QUM48" s="222"/>
      <c r="QUN48" s="222"/>
      <c r="QUO48" s="223"/>
      <c r="QUP48" s="223"/>
      <c r="QUQ48" s="224"/>
      <c r="QUR48" s="223"/>
      <c r="QUS48" s="223"/>
      <c r="QUT48" s="223"/>
      <c r="QUU48" s="223"/>
      <c r="QUV48" s="225"/>
      <c r="QUW48" s="220"/>
      <c r="QUX48" s="221"/>
      <c r="QUY48" s="222"/>
      <c r="QUZ48" s="222"/>
      <c r="QVA48" s="223"/>
      <c r="QVB48" s="223"/>
      <c r="QVC48" s="224"/>
      <c r="QVD48" s="223"/>
      <c r="QVE48" s="223"/>
      <c r="QVF48" s="223"/>
      <c r="QVG48" s="223"/>
      <c r="QVH48" s="225"/>
      <c r="QVI48" s="220"/>
      <c r="QVJ48" s="221"/>
      <c r="QVK48" s="222"/>
      <c r="QVL48" s="222"/>
      <c r="QVM48" s="223"/>
      <c r="QVN48" s="223"/>
      <c r="QVO48" s="224"/>
      <c r="QVP48" s="223"/>
      <c r="QVQ48" s="223"/>
      <c r="QVR48" s="223"/>
      <c r="QVS48" s="223"/>
      <c r="QVT48" s="225"/>
      <c r="QVU48" s="220"/>
      <c r="QVV48" s="221"/>
      <c r="QVW48" s="222"/>
      <c r="QVX48" s="222"/>
      <c r="QVY48" s="223"/>
      <c r="QVZ48" s="223"/>
      <c r="QWA48" s="224"/>
      <c r="QWB48" s="223"/>
      <c r="QWC48" s="223"/>
      <c r="QWD48" s="223"/>
      <c r="QWE48" s="223"/>
      <c r="QWF48" s="225"/>
      <c r="QWG48" s="220"/>
      <c r="QWH48" s="221"/>
      <c r="QWI48" s="222"/>
      <c r="QWJ48" s="222"/>
      <c r="QWK48" s="223"/>
      <c r="QWL48" s="223"/>
      <c r="QWM48" s="224"/>
      <c r="QWN48" s="223"/>
      <c r="QWO48" s="223"/>
      <c r="QWP48" s="223"/>
      <c r="QWQ48" s="223"/>
      <c r="QWR48" s="225"/>
      <c r="QWS48" s="220"/>
      <c r="QWT48" s="221"/>
      <c r="QWU48" s="222"/>
      <c r="QWV48" s="222"/>
      <c r="QWW48" s="223"/>
      <c r="QWX48" s="223"/>
      <c r="QWY48" s="224"/>
      <c r="QWZ48" s="223"/>
      <c r="QXA48" s="223"/>
      <c r="QXB48" s="223"/>
      <c r="QXC48" s="223"/>
      <c r="QXD48" s="225"/>
      <c r="QXE48" s="220"/>
      <c r="QXF48" s="221"/>
      <c r="QXG48" s="222"/>
      <c r="QXH48" s="222"/>
      <c r="QXI48" s="223"/>
      <c r="QXJ48" s="223"/>
      <c r="QXK48" s="224"/>
      <c r="QXL48" s="223"/>
      <c r="QXM48" s="223"/>
      <c r="QXN48" s="223"/>
      <c r="QXO48" s="223"/>
      <c r="QXP48" s="225"/>
      <c r="QXQ48" s="220"/>
      <c r="QXR48" s="221"/>
      <c r="QXS48" s="222"/>
      <c r="QXT48" s="222"/>
      <c r="QXU48" s="223"/>
      <c r="QXV48" s="223"/>
      <c r="QXW48" s="224"/>
      <c r="QXX48" s="223"/>
      <c r="QXY48" s="223"/>
      <c r="QXZ48" s="223"/>
      <c r="QYA48" s="223"/>
      <c r="QYB48" s="225"/>
      <c r="QYC48" s="220"/>
      <c r="QYD48" s="221"/>
      <c r="QYE48" s="222"/>
      <c r="QYF48" s="222"/>
      <c r="QYG48" s="223"/>
      <c r="QYH48" s="223"/>
      <c r="QYI48" s="224"/>
      <c r="QYJ48" s="223"/>
      <c r="QYK48" s="223"/>
      <c r="QYL48" s="223"/>
      <c r="QYM48" s="223"/>
      <c r="QYN48" s="225"/>
      <c r="QYO48" s="220"/>
      <c r="QYP48" s="221"/>
      <c r="QYQ48" s="222"/>
      <c r="QYR48" s="222"/>
      <c r="QYS48" s="223"/>
      <c r="QYT48" s="223"/>
      <c r="QYU48" s="224"/>
      <c r="QYV48" s="223"/>
      <c r="QYW48" s="223"/>
      <c r="QYX48" s="223"/>
      <c r="QYY48" s="223"/>
      <c r="QYZ48" s="225"/>
      <c r="QZA48" s="220"/>
      <c r="QZB48" s="221"/>
      <c r="QZC48" s="222"/>
      <c r="QZD48" s="222"/>
      <c r="QZE48" s="223"/>
      <c r="QZF48" s="223"/>
      <c r="QZG48" s="224"/>
      <c r="QZH48" s="223"/>
      <c r="QZI48" s="223"/>
      <c r="QZJ48" s="223"/>
      <c r="QZK48" s="223"/>
      <c r="QZL48" s="225"/>
      <c r="QZM48" s="220"/>
      <c r="QZN48" s="221"/>
      <c r="QZO48" s="222"/>
      <c r="QZP48" s="222"/>
      <c r="QZQ48" s="223"/>
      <c r="QZR48" s="223"/>
      <c r="QZS48" s="224"/>
      <c r="QZT48" s="223"/>
      <c r="QZU48" s="223"/>
      <c r="QZV48" s="223"/>
      <c r="QZW48" s="223"/>
      <c r="QZX48" s="225"/>
      <c r="QZY48" s="220"/>
      <c r="QZZ48" s="221"/>
      <c r="RAA48" s="222"/>
      <c r="RAB48" s="222"/>
      <c r="RAC48" s="223"/>
      <c r="RAD48" s="223"/>
      <c r="RAE48" s="224"/>
      <c r="RAF48" s="223"/>
      <c r="RAG48" s="223"/>
      <c r="RAH48" s="223"/>
      <c r="RAI48" s="223"/>
      <c r="RAJ48" s="225"/>
      <c r="RAK48" s="220"/>
      <c r="RAL48" s="221"/>
      <c r="RAM48" s="222"/>
      <c r="RAN48" s="222"/>
      <c r="RAO48" s="223"/>
      <c r="RAP48" s="223"/>
      <c r="RAQ48" s="224"/>
      <c r="RAR48" s="223"/>
      <c r="RAS48" s="223"/>
      <c r="RAT48" s="223"/>
      <c r="RAU48" s="223"/>
      <c r="RAV48" s="225"/>
      <c r="RAW48" s="220"/>
      <c r="RAX48" s="221"/>
      <c r="RAY48" s="222"/>
      <c r="RAZ48" s="222"/>
      <c r="RBA48" s="223"/>
      <c r="RBB48" s="223"/>
      <c r="RBC48" s="224"/>
      <c r="RBD48" s="223"/>
      <c r="RBE48" s="223"/>
      <c r="RBF48" s="223"/>
      <c r="RBG48" s="223"/>
      <c r="RBH48" s="225"/>
      <c r="RBI48" s="220"/>
      <c r="RBJ48" s="221"/>
      <c r="RBK48" s="222"/>
      <c r="RBL48" s="222"/>
      <c r="RBM48" s="223"/>
      <c r="RBN48" s="223"/>
      <c r="RBO48" s="224"/>
      <c r="RBP48" s="223"/>
      <c r="RBQ48" s="223"/>
      <c r="RBR48" s="223"/>
      <c r="RBS48" s="223"/>
      <c r="RBT48" s="225"/>
      <c r="RBU48" s="220"/>
      <c r="RBV48" s="221"/>
      <c r="RBW48" s="222"/>
      <c r="RBX48" s="222"/>
      <c r="RBY48" s="223"/>
      <c r="RBZ48" s="223"/>
      <c r="RCA48" s="224"/>
      <c r="RCB48" s="223"/>
      <c r="RCC48" s="223"/>
      <c r="RCD48" s="223"/>
      <c r="RCE48" s="223"/>
      <c r="RCF48" s="225"/>
      <c r="RCG48" s="220"/>
      <c r="RCH48" s="221"/>
      <c r="RCI48" s="222"/>
      <c r="RCJ48" s="222"/>
      <c r="RCK48" s="223"/>
      <c r="RCL48" s="223"/>
      <c r="RCM48" s="224"/>
      <c r="RCN48" s="223"/>
      <c r="RCO48" s="223"/>
      <c r="RCP48" s="223"/>
      <c r="RCQ48" s="223"/>
      <c r="RCR48" s="225"/>
      <c r="RCS48" s="220"/>
      <c r="RCT48" s="221"/>
      <c r="RCU48" s="222"/>
      <c r="RCV48" s="222"/>
      <c r="RCW48" s="223"/>
      <c r="RCX48" s="223"/>
      <c r="RCY48" s="224"/>
      <c r="RCZ48" s="223"/>
      <c r="RDA48" s="223"/>
      <c r="RDB48" s="223"/>
      <c r="RDC48" s="223"/>
      <c r="RDD48" s="225"/>
      <c r="RDE48" s="220"/>
      <c r="RDF48" s="221"/>
      <c r="RDG48" s="222"/>
      <c r="RDH48" s="222"/>
      <c r="RDI48" s="223"/>
      <c r="RDJ48" s="223"/>
      <c r="RDK48" s="224"/>
      <c r="RDL48" s="223"/>
      <c r="RDM48" s="223"/>
      <c r="RDN48" s="223"/>
      <c r="RDO48" s="223"/>
      <c r="RDP48" s="225"/>
      <c r="RDQ48" s="220"/>
      <c r="RDR48" s="221"/>
      <c r="RDS48" s="222"/>
      <c r="RDT48" s="222"/>
      <c r="RDU48" s="223"/>
      <c r="RDV48" s="223"/>
      <c r="RDW48" s="224"/>
      <c r="RDX48" s="223"/>
      <c r="RDY48" s="223"/>
      <c r="RDZ48" s="223"/>
      <c r="REA48" s="223"/>
      <c r="REB48" s="225"/>
      <c r="REC48" s="220"/>
      <c r="RED48" s="221"/>
      <c r="REE48" s="222"/>
      <c r="REF48" s="222"/>
      <c r="REG48" s="223"/>
      <c r="REH48" s="223"/>
      <c r="REI48" s="224"/>
      <c r="REJ48" s="223"/>
      <c r="REK48" s="223"/>
      <c r="REL48" s="223"/>
      <c r="REM48" s="223"/>
      <c r="REN48" s="225"/>
      <c r="REO48" s="220"/>
      <c r="REP48" s="221"/>
      <c r="REQ48" s="222"/>
      <c r="RER48" s="222"/>
      <c r="RES48" s="223"/>
      <c r="RET48" s="223"/>
      <c r="REU48" s="224"/>
      <c r="REV48" s="223"/>
      <c r="REW48" s="223"/>
      <c r="REX48" s="223"/>
      <c r="REY48" s="223"/>
      <c r="REZ48" s="225"/>
      <c r="RFA48" s="220"/>
      <c r="RFB48" s="221"/>
      <c r="RFC48" s="222"/>
      <c r="RFD48" s="222"/>
      <c r="RFE48" s="223"/>
      <c r="RFF48" s="223"/>
      <c r="RFG48" s="224"/>
      <c r="RFH48" s="223"/>
      <c r="RFI48" s="223"/>
      <c r="RFJ48" s="223"/>
      <c r="RFK48" s="223"/>
      <c r="RFL48" s="225"/>
      <c r="RFM48" s="220"/>
      <c r="RFN48" s="221"/>
      <c r="RFO48" s="222"/>
      <c r="RFP48" s="222"/>
      <c r="RFQ48" s="223"/>
      <c r="RFR48" s="223"/>
      <c r="RFS48" s="224"/>
      <c r="RFT48" s="223"/>
      <c r="RFU48" s="223"/>
      <c r="RFV48" s="223"/>
      <c r="RFW48" s="223"/>
      <c r="RFX48" s="225"/>
      <c r="RFY48" s="220"/>
      <c r="RFZ48" s="221"/>
      <c r="RGA48" s="222"/>
      <c r="RGB48" s="222"/>
      <c r="RGC48" s="223"/>
      <c r="RGD48" s="223"/>
      <c r="RGE48" s="224"/>
      <c r="RGF48" s="223"/>
      <c r="RGG48" s="223"/>
      <c r="RGH48" s="223"/>
      <c r="RGI48" s="223"/>
      <c r="RGJ48" s="225"/>
      <c r="RGK48" s="220"/>
      <c r="RGL48" s="221"/>
      <c r="RGM48" s="222"/>
      <c r="RGN48" s="222"/>
      <c r="RGO48" s="223"/>
      <c r="RGP48" s="223"/>
      <c r="RGQ48" s="224"/>
      <c r="RGR48" s="223"/>
      <c r="RGS48" s="223"/>
      <c r="RGT48" s="223"/>
      <c r="RGU48" s="223"/>
      <c r="RGV48" s="225"/>
      <c r="RGW48" s="220"/>
      <c r="RGX48" s="221"/>
      <c r="RGY48" s="222"/>
      <c r="RGZ48" s="222"/>
      <c r="RHA48" s="223"/>
      <c r="RHB48" s="223"/>
      <c r="RHC48" s="224"/>
      <c r="RHD48" s="223"/>
      <c r="RHE48" s="223"/>
      <c r="RHF48" s="223"/>
      <c r="RHG48" s="223"/>
      <c r="RHH48" s="225"/>
      <c r="RHI48" s="220"/>
      <c r="RHJ48" s="221"/>
      <c r="RHK48" s="222"/>
      <c r="RHL48" s="222"/>
      <c r="RHM48" s="223"/>
      <c r="RHN48" s="223"/>
      <c r="RHO48" s="224"/>
      <c r="RHP48" s="223"/>
      <c r="RHQ48" s="223"/>
      <c r="RHR48" s="223"/>
      <c r="RHS48" s="223"/>
      <c r="RHT48" s="225"/>
      <c r="RHU48" s="220"/>
      <c r="RHV48" s="221"/>
      <c r="RHW48" s="222"/>
      <c r="RHX48" s="222"/>
      <c r="RHY48" s="223"/>
      <c r="RHZ48" s="223"/>
      <c r="RIA48" s="224"/>
      <c r="RIB48" s="223"/>
      <c r="RIC48" s="223"/>
      <c r="RID48" s="223"/>
      <c r="RIE48" s="223"/>
      <c r="RIF48" s="225"/>
      <c r="RIG48" s="220"/>
      <c r="RIH48" s="221"/>
      <c r="RII48" s="222"/>
      <c r="RIJ48" s="222"/>
      <c r="RIK48" s="223"/>
      <c r="RIL48" s="223"/>
      <c r="RIM48" s="224"/>
      <c r="RIN48" s="223"/>
      <c r="RIO48" s="223"/>
      <c r="RIP48" s="223"/>
      <c r="RIQ48" s="223"/>
      <c r="RIR48" s="225"/>
      <c r="RIS48" s="220"/>
      <c r="RIT48" s="221"/>
      <c r="RIU48" s="222"/>
      <c r="RIV48" s="222"/>
      <c r="RIW48" s="223"/>
      <c r="RIX48" s="223"/>
      <c r="RIY48" s="224"/>
      <c r="RIZ48" s="223"/>
      <c r="RJA48" s="223"/>
      <c r="RJB48" s="223"/>
      <c r="RJC48" s="223"/>
      <c r="RJD48" s="225"/>
      <c r="RJE48" s="220"/>
      <c r="RJF48" s="221"/>
      <c r="RJG48" s="222"/>
      <c r="RJH48" s="222"/>
      <c r="RJI48" s="223"/>
      <c r="RJJ48" s="223"/>
      <c r="RJK48" s="224"/>
      <c r="RJL48" s="223"/>
      <c r="RJM48" s="223"/>
      <c r="RJN48" s="223"/>
      <c r="RJO48" s="223"/>
      <c r="RJP48" s="225"/>
      <c r="RJQ48" s="220"/>
      <c r="RJR48" s="221"/>
      <c r="RJS48" s="222"/>
      <c r="RJT48" s="222"/>
      <c r="RJU48" s="223"/>
      <c r="RJV48" s="223"/>
      <c r="RJW48" s="224"/>
      <c r="RJX48" s="223"/>
      <c r="RJY48" s="223"/>
      <c r="RJZ48" s="223"/>
      <c r="RKA48" s="223"/>
      <c r="RKB48" s="225"/>
      <c r="RKC48" s="220"/>
      <c r="RKD48" s="221"/>
      <c r="RKE48" s="222"/>
      <c r="RKF48" s="222"/>
      <c r="RKG48" s="223"/>
      <c r="RKH48" s="223"/>
      <c r="RKI48" s="224"/>
      <c r="RKJ48" s="223"/>
      <c r="RKK48" s="223"/>
      <c r="RKL48" s="223"/>
      <c r="RKM48" s="223"/>
      <c r="RKN48" s="225"/>
      <c r="RKO48" s="220"/>
      <c r="RKP48" s="221"/>
      <c r="RKQ48" s="222"/>
      <c r="RKR48" s="222"/>
      <c r="RKS48" s="223"/>
      <c r="RKT48" s="223"/>
      <c r="RKU48" s="224"/>
      <c r="RKV48" s="223"/>
      <c r="RKW48" s="223"/>
      <c r="RKX48" s="223"/>
      <c r="RKY48" s="223"/>
      <c r="RKZ48" s="225"/>
      <c r="RLA48" s="220"/>
      <c r="RLB48" s="221"/>
      <c r="RLC48" s="222"/>
      <c r="RLD48" s="222"/>
      <c r="RLE48" s="223"/>
      <c r="RLF48" s="223"/>
      <c r="RLG48" s="224"/>
      <c r="RLH48" s="223"/>
      <c r="RLI48" s="223"/>
      <c r="RLJ48" s="223"/>
      <c r="RLK48" s="223"/>
      <c r="RLL48" s="225"/>
      <c r="RLM48" s="220"/>
      <c r="RLN48" s="221"/>
      <c r="RLO48" s="222"/>
      <c r="RLP48" s="222"/>
      <c r="RLQ48" s="223"/>
      <c r="RLR48" s="223"/>
      <c r="RLS48" s="224"/>
      <c r="RLT48" s="223"/>
      <c r="RLU48" s="223"/>
      <c r="RLV48" s="223"/>
      <c r="RLW48" s="223"/>
      <c r="RLX48" s="225"/>
      <c r="RLY48" s="220"/>
      <c r="RLZ48" s="221"/>
      <c r="RMA48" s="222"/>
      <c r="RMB48" s="222"/>
      <c r="RMC48" s="223"/>
      <c r="RMD48" s="223"/>
      <c r="RME48" s="224"/>
      <c r="RMF48" s="223"/>
      <c r="RMG48" s="223"/>
      <c r="RMH48" s="223"/>
      <c r="RMI48" s="223"/>
      <c r="RMJ48" s="225"/>
      <c r="RMK48" s="220"/>
      <c r="RML48" s="221"/>
      <c r="RMM48" s="222"/>
      <c r="RMN48" s="222"/>
      <c r="RMO48" s="223"/>
      <c r="RMP48" s="223"/>
      <c r="RMQ48" s="224"/>
      <c r="RMR48" s="223"/>
      <c r="RMS48" s="223"/>
      <c r="RMT48" s="223"/>
      <c r="RMU48" s="223"/>
      <c r="RMV48" s="225"/>
      <c r="RMW48" s="220"/>
      <c r="RMX48" s="221"/>
      <c r="RMY48" s="222"/>
      <c r="RMZ48" s="222"/>
      <c r="RNA48" s="223"/>
      <c r="RNB48" s="223"/>
      <c r="RNC48" s="224"/>
      <c r="RND48" s="223"/>
      <c r="RNE48" s="223"/>
      <c r="RNF48" s="223"/>
      <c r="RNG48" s="223"/>
      <c r="RNH48" s="225"/>
      <c r="RNI48" s="220"/>
      <c r="RNJ48" s="221"/>
      <c r="RNK48" s="222"/>
      <c r="RNL48" s="222"/>
      <c r="RNM48" s="223"/>
      <c r="RNN48" s="223"/>
      <c r="RNO48" s="224"/>
      <c r="RNP48" s="223"/>
      <c r="RNQ48" s="223"/>
      <c r="RNR48" s="223"/>
      <c r="RNS48" s="223"/>
      <c r="RNT48" s="225"/>
      <c r="RNU48" s="220"/>
      <c r="RNV48" s="221"/>
      <c r="RNW48" s="222"/>
      <c r="RNX48" s="222"/>
      <c r="RNY48" s="223"/>
      <c r="RNZ48" s="223"/>
      <c r="ROA48" s="224"/>
      <c r="ROB48" s="223"/>
      <c r="ROC48" s="223"/>
      <c r="ROD48" s="223"/>
      <c r="ROE48" s="223"/>
      <c r="ROF48" s="225"/>
      <c r="ROG48" s="220"/>
      <c r="ROH48" s="221"/>
      <c r="ROI48" s="222"/>
      <c r="ROJ48" s="222"/>
      <c r="ROK48" s="223"/>
      <c r="ROL48" s="223"/>
      <c r="ROM48" s="224"/>
      <c r="RON48" s="223"/>
      <c r="ROO48" s="223"/>
      <c r="ROP48" s="223"/>
      <c r="ROQ48" s="223"/>
      <c r="ROR48" s="225"/>
      <c r="ROS48" s="220"/>
      <c r="ROT48" s="221"/>
      <c r="ROU48" s="222"/>
      <c r="ROV48" s="222"/>
      <c r="ROW48" s="223"/>
      <c r="ROX48" s="223"/>
      <c r="ROY48" s="224"/>
      <c r="ROZ48" s="223"/>
      <c r="RPA48" s="223"/>
      <c r="RPB48" s="223"/>
      <c r="RPC48" s="223"/>
      <c r="RPD48" s="225"/>
      <c r="RPE48" s="220"/>
      <c r="RPF48" s="221"/>
      <c r="RPG48" s="222"/>
      <c r="RPH48" s="222"/>
      <c r="RPI48" s="223"/>
      <c r="RPJ48" s="223"/>
      <c r="RPK48" s="224"/>
      <c r="RPL48" s="223"/>
      <c r="RPM48" s="223"/>
      <c r="RPN48" s="223"/>
      <c r="RPO48" s="223"/>
      <c r="RPP48" s="225"/>
      <c r="RPQ48" s="220"/>
      <c r="RPR48" s="221"/>
      <c r="RPS48" s="222"/>
      <c r="RPT48" s="222"/>
      <c r="RPU48" s="223"/>
      <c r="RPV48" s="223"/>
      <c r="RPW48" s="224"/>
      <c r="RPX48" s="223"/>
      <c r="RPY48" s="223"/>
      <c r="RPZ48" s="223"/>
      <c r="RQA48" s="223"/>
      <c r="RQB48" s="225"/>
      <c r="RQC48" s="220"/>
      <c r="RQD48" s="221"/>
      <c r="RQE48" s="222"/>
      <c r="RQF48" s="222"/>
      <c r="RQG48" s="223"/>
      <c r="RQH48" s="223"/>
      <c r="RQI48" s="224"/>
      <c r="RQJ48" s="223"/>
      <c r="RQK48" s="223"/>
      <c r="RQL48" s="223"/>
      <c r="RQM48" s="223"/>
      <c r="RQN48" s="225"/>
      <c r="RQO48" s="220"/>
      <c r="RQP48" s="221"/>
      <c r="RQQ48" s="222"/>
      <c r="RQR48" s="222"/>
      <c r="RQS48" s="223"/>
      <c r="RQT48" s="223"/>
      <c r="RQU48" s="224"/>
      <c r="RQV48" s="223"/>
      <c r="RQW48" s="223"/>
      <c r="RQX48" s="223"/>
      <c r="RQY48" s="223"/>
      <c r="RQZ48" s="225"/>
      <c r="RRA48" s="220"/>
      <c r="RRB48" s="221"/>
      <c r="RRC48" s="222"/>
      <c r="RRD48" s="222"/>
      <c r="RRE48" s="223"/>
      <c r="RRF48" s="223"/>
      <c r="RRG48" s="224"/>
      <c r="RRH48" s="223"/>
      <c r="RRI48" s="223"/>
      <c r="RRJ48" s="223"/>
      <c r="RRK48" s="223"/>
      <c r="RRL48" s="225"/>
      <c r="RRM48" s="220"/>
      <c r="RRN48" s="221"/>
      <c r="RRO48" s="222"/>
      <c r="RRP48" s="222"/>
      <c r="RRQ48" s="223"/>
      <c r="RRR48" s="223"/>
      <c r="RRS48" s="224"/>
      <c r="RRT48" s="223"/>
      <c r="RRU48" s="223"/>
      <c r="RRV48" s="223"/>
      <c r="RRW48" s="223"/>
      <c r="RRX48" s="225"/>
      <c r="RRY48" s="220"/>
      <c r="RRZ48" s="221"/>
      <c r="RSA48" s="222"/>
      <c r="RSB48" s="222"/>
      <c r="RSC48" s="223"/>
      <c r="RSD48" s="223"/>
      <c r="RSE48" s="224"/>
      <c r="RSF48" s="223"/>
      <c r="RSG48" s="223"/>
      <c r="RSH48" s="223"/>
      <c r="RSI48" s="223"/>
      <c r="RSJ48" s="225"/>
      <c r="RSK48" s="220"/>
      <c r="RSL48" s="221"/>
      <c r="RSM48" s="222"/>
      <c r="RSN48" s="222"/>
      <c r="RSO48" s="223"/>
      <c r="RSP48" s="223"/>
      <c r="RSQ48" s="224"/>
      <c r="RSR48" s="223"/>
      <c r="RSS48" s="223"/>
      <c r="RST48" s="223"/>
      <c r="RSU48" s="223"/>
      <c r="RSV48" s="225"/>
      <c r="RSW48" s="220"/>
      <c r="RSX48" s="221"/>
      <c r="RSY48" s="222"/>
      <c r="RSZ48" s="222"/>
      <c r="RTA48" s="223"/>
      <c r="RTB48" s="223"/>
      <c r="RTC48" s="224"/>
      <c r="RTD48" s="223"/>
      <c r="RTE48" s="223"/>
      <c r="RTF48" s="223"/>
      <c r="RTG48" s="223"/>
      <c r="RTH48" s="225"/>
      <c r="RTI48" s="220"/>
      <c r="RTJ48" s="221"/>
      <c r="RTK48" s="222"/>
      <c r="RTL48" s="222"/>
      <c r="RTM48" s="223"/>
      <c r="RTN48" s="223"/>
      <c r="RTO48" s="224"/>
      <c r="RTP48" s="223"/>
      <c r="RTQ48" s="223"/>
      <c r="RTR48" s="223"/>
      <c r="RTS48" s="223"/>
      <c r="RTT48" s="225"/>
      <c r="RTU48" s="220"/>
      <c r="RTV48" s="221"/>
      <c r="RTW48" s="222"/>
      <c r="RTX48" s="222"/>
      <c r="RTY48" s="223"/>
      <c r="RTZ48" s="223"/>
      <c r="RUA48" s="224"/>
      <c r="RUB48" s="223"/>
      <c r="RUC48" s="223"/>
      <c r="RUD48" s="223"/>
      <c r="RUE48" s="223"/>
      <c r="RUF48" s="225"/>
      <c r="RUG48" s="220"/>
      <c r="RUH48" s="221"/>
      <c r="RUI48" s="222"/>
      <c r="RUJ48" s="222"/>
      <c r="RUK48" s="223"/>
      <c r="RUL48" s="223"/>
      <c r="RUM48" s="224"/>
      <c r="RUN48" s="223"/>
      <c r="RUO48" s="223"/>
      <c r="RUP48" s="223"/>
      <c r="RUQ48" s="223"/>
      <c r="RUR48" s="225"/>
      <c r="RUS48" s="220"/>
      <c r="RUT48" s="221"/>
      <c r="RUU48" s="222"/>
      <c r="RUV48" s="222"/>
      <c r="RUW48" s="223"/>
      <c r="RUX48" s="223"/>
      <c r="RUY48" s="224"/>
      <c r="RUZ48" s="223"/>
      <c r="RVA48" s="223"/>
      <c r="RVB48" s="223"/>
      <c r="RVC48" s="223"/>
      <c r="RVD48" s="225"/>
      <c r="RVE48" s="220"/>
      <c r="RVF48" s="221"/>
      <c r="RVG48" s="222"/>
      <c r="RVH48" s="222"/>
      <c r="RVI48" s="223"/>
      <c r="RVJ48" s="223"/>
      <c r="RVK48" s="224"/>
      <c r="RVL48" s="223"/>
      <c r="RVM48" s="223"/>
      <c r="RVN48" s="223"/>
      <c r="RVO48" s="223"/>
      <c r="RVP48" s="225"/>
      <c r="RVQ48" s="220"/>
      <c r="RVR48" s="221"/>
      <c r="RVS48" s="222"/>
      <c r="RVT48" s="222"/>
      <c r="RVU48" s="223"/>
      <c r="RVV48" s="223"/>
      <c r="RVW48" s="224"/>
      <c r="RVX48" s="223"/>
      <c r="RVY48" s="223"/>
      <c r="RVZ48" s="223"/>
      <c r="RWA48" s="223"/>
      <c r="RWB48" s="225"/>
      <c r="RWC48" s="220"/>
      <c r="RWD48" s="221"/>
      <c r="RWE48" s="222"/>
      <c r="RWF48" s="222"/>
      <c r="RWG48" s="223"/>
      <c r="RWH48" s="223"/>
      <c r="RWI48" s="224"/>
      <c r="RWJ48" s="223"/>
      <c r="RWK48" s="223"/>
      <c r="RWL48" s="223"/>
      <c r="RWM48" s="223"/>
      <c r="RWN48" s="225"/>
      <c r="RWO48" s="220"/>
      <c r="RWP48" s="221"/>
      <c r="RWQ48" s="222"/>
      <c r="RWR48" s="222"/>
      <c r="RWS48" s="223"/>
      <c r="RWT48" s="223"/>
      <c r="RWU48" s="224"/>
      <c r="RWV48" s="223"/>
      <c r="RWW48" s="223"/>
      <c r="RWX48" s="223"/>
      <c r="RWY48" s="223"/>
      <c r="RWZ48" s="225"/>
      <c r="RXA48" s="220"/>
      <c r="RXB48" s="221"/>
      <c r="RXC48" s="222"/>
      <c r="RXD48" s="222"/>
      <c r="RXE48" s="223"/>
      <c r="RXF48" s="223"/>
      <c r="RXG48" s="224"/>
      <c r="RXH48" s="223"/>
      <c r="RXI48" s="223"/>
      <c r="RXJ48" s="223"/>
      <c r="RXK48" s="223"/>
      <c r="RXL48" s="225"/>
      <c r="RXM48" s="220"/>
      <c r="RXN48" s="221"/>
      <c r="RXO48" s="222"/>
      <c r="RXP48" s="222"/>
      <c r="RXQ48" s="223"/>
      <c r="RXR48" s="223"/>
      <c r="RXS48" s="224"/>
      <c r="RXT48" s="223"/>
      <c r="RXU48" s="223"/>
      <c r="RXV48" s="223"/>
      <c r="RXW48" s="223"/>
      <c r="RXX48" s="225"/>
      <c r="RXY48" s="220"/>
      <c r="RXZ48" s="221"/>
      <c r="RYA48" s="222"/>
      <c r="RYB48" s="222"/>
      <c r="RYC48" s="223"/>
      <c r="RYD48" s="223"/>
      <c r="RYE48" s="224"/>
      <c r="RYF48" s="223"/>
      <c r="RYG48" s="223"/>
      <c r="RYH48" s="223"/>
      <c r="RYI48" s="223"/>
      <c r="RYJ48" s="225"/>
      <c r="RYK48" s="220"/>
      <c r="RYL48" s="221"/>
      <c r="RYM48" s="222"/>
      <c r="RYN48" s="222"/>
      <c r="RYO48" s="223"/>
      <c r="RYP48" s="223"/>
      <c r="RYQ48" s="224"/>
      <c r="RYR48" s="223"/>
      <c r="RYS48" s="223"/>
      <c r="RYT48" s="223"/>
      <c r="RYU48" s="223"/>
      <c r="RYV48" s="225"/>
      <c r="RYW48" s="220"/>
      <c r="RYX48" s="221"/>
      <c r="RYY48" s="222"/>
      <c r="RYZ48" s="222"/>
      <c r="RZA48" s="223"/>
      <c r="RZB48" s="223"/>
      <c r="RZC48" s="224"/>
      <c r="RZD48" s="223"/>
      <c r="RZE48" s="223"/>
      <c r="RZF48" s="223"/>
      <c r="RZG48" s="223"/>
      <c r="RZH48" s="225"/>
      <c r="RZI48" s="220"/>
      <c r="RZJ48" s="221"/>
      <c r="RZK48" s="222"/>
      <c r="RZL48" s="222"/>
      <c r="RZM48" s="223"/>
      <c r="RZN48" s="223"/>
      <c r="RZO48" s="224"/>
      <c r="RZP48" s="223"/>
      <c r="RZQ48" s="223"/>
      <c r="RZR48" s="223"/>
      <c r="RZS48" s="223"/>
      <c r="RZT48" s="225"/>
      <c r="RZU48" s="220"/>
      <c r="RZV48" s="221"/>
      <c r="RZW48" s="222"/>
      <c r="RZX48" s="222"/>
      <c r="RZY48" s="223"/>
      <c r="RZZ48" s="223"/>
      <c r="SAA48" s="224"/>
      <c r="SAB48" s="223"/>
      <c r="SAC48" s="223"/>
      <c r="SAD48" s="223"/>
      <c r="SAE48" s="223"/>
      <c r="SAF48" s="225"/>
      <c r="SAG48" s="220"/>
      <c r="SAH48" s="221"/>
      <c r="SAI48" s="222"/>
      <c r="SAJ48" s="222"/>
      <c r="SAK48" s="223"/>
      <c r="SAL48" s="223"/>
      <c r="SAM48" s="224"/>
      <c r="SAN48" s="223"/>
      <c r="SAO48" s="223"/>
      <c r="SAP48" s="223"/>
      <c r="SAQ48" s="223"/>
      <c r="SAR48" s="225"/>
      <c r="SAS48" s="220"/>
      <c r="SAT48" s="221"/>
      <c r="SAU48" s="222"/>
      <c r="SAV48" s="222"/>
      <c r="SAW48" s="223"/>
      <c r="SAX48" s="223"/>
      <c r="SAY48" s="224"/>
      <c r="SAZ48" s="223"/>
      <c r="SBA48" s="223"/>
      <c r="SBB48" s="223"/>
      <c r="SBC48" s="223"/>
      <c r="SBD48" s="225"/>
      <c r="SBE48" s="220"/>
      <c r="SBF48" s="221"/>
      <c r="SBG48" s="222"/>
      <c r="SBH48" s="222"/>
      <c r="SBI48" s="223"/>
      <c r="SBJ48" s="223"/>
      <c r="SBK48" s="224"/>
      <c r="SBL48" s="223"/>
      <c r="SBM48" s="223"/>
      <c r="SBN48" s="223"/>
      <c r="SBO48" s="223"/>
      <c r="SBP48" s="225"/>
      <c r="SBQ48" s="220"/>
      <c r="SBR48" s="221"/>
      <c r="SBS48" s="222"/>
      <c r="SBT48" s="222"/>
      <c r="SBU48" s="223"/>
      <c r="SBV48" s="223"/>
      <c r="SBW48" s="224"/>
      <c r="SBX48" s="223"/>
      <c r="SBY48" s="223"/>
      <c r="SBZ48" s="223"/>
      <c r="SCA48" s="223"/>
      <c r="SCB48" s="225"/>
      <c r="SCC48" s="220"/>
      <c r="SCD48" s="221"/>
      <c r="SCE48" s="222"/>
      <c r="SCF48" s="222"/>
      <c r="SCG48" s="223"/>
      <c r="SCH48" s="223"/>
      <c r="SCI48" s="224"/>
      <c r="SCJ48" s="223"/>
      <c r="SCK48" s="223"/>
      <c r="SCL48" s="223"/>
      <c r="SCM48" s="223"/>
      <c r="SCN48" s="225"/>
      <c r="SCO48" s="220"/>
      <c r="SCP48" s="221"/>
      <c r="SCQ48" s="222"/>
      <c r="SCR48" s="222"/>
      <c r="SCS48" s="223"/>
      <c r="SCT48" s="223"/>
      <c r="SCU48" s="224"/>
      <c r="SCV48" s="223"/>
      <c r="SCW48" s="223"/>
      <c r="SCX48" s="223"/>
      <c r="SCY48" s="223"/>
      <c r="SCZ48" s="225"/>
      <c r="SDA48" s="220"/>
      <c r="SDB48" s="221"/>
      <c r="SDC48" s="222"/>
      <c r="SDD48" s="222"/>
      <c r="SDE48" s="223"/>
      <c r="SDF48" s="223"/>
      <c r="SDG48" s="224"/>
      <c r="SDH48" s="223"/>
      <c r="SDI48" s="223"/>
      <c r="SDJ48" s="223"/>
      <c r="SDK48" s="223"/>
      <c r="SDL48" s="225"/>
      <c r="SDM48" s="220"/>
      <c r="SDN48" s="221"/>
      <c r="SDO48" s="222"/>
      <c r="SDP48" s="222"/>
      <c r="SDQ48" s="223"/>
      <c r="SDR48" s="223"/>
      <c r="SDS48" s="224"/>
      <c r="SDT48" s="223"/>
      <c r="SDU48" s="223"/>
      <c r="SDV48" s="223"/>
      <c r="SDW48" s="223"/>
      <c r="SDX48" s="225"/>
      <c r="SDY48" s="220"/>
      <c r="SDZ48" s="221"/>
      <c r="SEA48" s="222"/>
      <c r="SEB48" s="222"/>
      <c r="SEC48" s="223"/>
      <c r="SED48" s="223"/>
      <c r="SEE48" s="224"/>
      <c r="SEF48" s="223"/>
      <c r="SEG48" s="223"/>
      <c r="SEH48" s="223"/>
      <c r="SEI48" s="223"/>
      <c r="SEJ48" s="225"/>
      <c r="SEK48" s="220"/>
      <c r="SEL48" s="221"/>
      <c r="SEM48" s="222"/>
      <c r="SEN48" s="222"/>
      <c r="SEO48" s="223"/>
      <c r="SEP48" s="223"/>
      <c r="SEQ48" s="224"/>
      <c r="SER48" s="223"/>
      <c r="SES48" s="223"/>
      <c r="SET48" s="223"/>
      <c r="SEU48" s="223"/>
      <c r="SEV48" s="225"/>
      <c r="SEW48" s="220"/>
      <c r="SEX48" s="221"/>
      <c r="SEY48" s="222"/>
      <c r="SEZ48" s="222"/>
      <c r="SFA48" s="223"/>
      <c r="SFB48" s="223"/>
      <c r="SFC48" s="224"/>
      <c r="SFD48" s="223"/>
      <c r="SFE48" s="223"/>
      <c r="SFF48" s="223"/>
      <c r="SFG48" s="223"/>
      <c r="SFH48" s="225"/>
      <c r="SFI48" s="220"/>
      <c r="SFJ48" s="221"/>
      <c r="SFK48" s="222"/>
      <c r="SFL48" s="222"/>
      <c r="SFM48" s="223"/>
      <c r="SFN48" s="223"/>
      <c r="SFO48" s="224"/>
      <c r="SFP48" s="223"/>
      <c r="SFQ48" s="223"/>
      <c r="SFR48" s="223"/>
      <c r="SFS48" s="223"/>
      <c r="SFT48" s="225"/>
      <c r="SFU48" s="220"/>
      <c r="SFV48" s="221"/>
      <c r="SFW48" s="222"/>
      <c r="SFX48" s="222"/>
      <c r="SFY48" s="223"/>
      <c r="SFZ48" s="223"/>
      <c r="SGA48" s="224"/>
      <c r="SGB48" s="223"/>
      <c r="SGC48" s="223"/>
      <c r="SGD48" s="223"/>
      <c r="SGE48" s="223"/>
      <c r="SGF48" s="225"/>
      <c r="SGG48" s="220"/>
      <c r="SGH48" s="221"/>
      <c r="SGI48" s="222"/>
      <c r="SGJ48" s="222"/>
      <c r="SGK48" s="223"/>
      <c r="SGL48" s="223"/>
      <c r="SGM48" s="224"/>
      <c r="SGN48" s="223"/>
      <c r="SGO48" s="223"/>
      <c r="SGP48" s="223"/>
      <c r="SGQ48" s="223"/>
      <c r="SGR48" s="225"/>
      <c r="SGS48" s="220"/>
      <c r="SGT48" s="221"/>
      <c r="SGU48" s="222"/>
      <c r="SGV48" s="222"/>
      <c r="SGW48" s="223"/>
      <c r="SGX48" s="223"/>
      <c r="SGY48" s="224"/>
      <c r="SGZ48" s="223"/>
      <c r="SHA48" s="223"/>
      <c r="SHB48" s="223"/>
      <c r="SHC48" s="223"/>
      <c r="SHD48" s="225"/>
      <c r="SHE48" s="220"/>
      <c r="SHF48" s="221"/>
      <c r="SHG48" s="222"/>
      <c r="SHH48" s="222"/>
      <c r="SHI48" s="223"/>
      <c r="SHJ48" s="223"/>
      <c r="SHK48" s="224"/>
      <c r="SHL48" s="223"/>
      <c r="SHM48" s="223"/>
      <c r="SHN48" s="223"/>
      <c r="SHO48" s="223"/>
      <c r="SHP48" s="225"/>
      <c r="SHQ48" s="220"/>
      <c r="SHR48" s="221"/>
      <c r="SHS48" s="222"/>
      <c r="SHT48" s="222"/>
      <c r="SHU48" s="223"/>
      <c r="SHV48" s="223"/>
      <c r="SHW48" s="224"/>
      <c r="SHX48" s="223"/>
      <c r="SHY48" s="223"/>
      <c r="SHZ48" s="223"/>
      <c r="SIA48" s="223"/>
      <c r="SIB48" s="225"/>
      <c r="SIC48" s="220"/>
      <c r="SID48" s="221"/>
      <c r="SIE48" s="222"/>
      <c r="SIF48" s="222"/>
      <c r="SIG48" s="223"/>
      <c r="SIH48" s="223"/>
      <c r="SII48" s="224"/>
      <c r="SIJ48" s="223"/>
      <c r="SIK48" s="223"/>
      <c r="SIL48" s="223"/>
      <c r="SIM48" s="223"/>
      <c r="SIN48" s="225"/>
      <c r="SIO48" s="220"/>
      <c r="SIP48" s="221"/>
      <c r="SIQ48" s="222"/>
      <c r="SIR48" s="222"/>
      <c r="SIS48" s="223"/>
      <c r="SIT48" s="223"/>
      <c r="SIU48" s="224"/>
      <c r="SIV48" s="223"/>
      <c r="SIW48" s="223"/>
      <c r="SIX48" s="223"/>
      <c r="SIY48" s="223"/>
      <c r="SIZ48" s="225"/>
      <c r="SJA48" s="220"/>
      <c r="SJB48" s="221"/>
      <c r="SJC48" s="222"/>
      <c r="SJD48" s="222"/>
      <c r="SJE48" s="223"/>
      <c r="SJF48" s="223"/>
      <c r="SJG48" s="224"/>
      <c r="SJH48" s="223"/>
      <c r="SJI48" s="223"/>
      <c r="SJJ48" s="223"/>
      <c r="SJK48" s="223"/>
      <c r="SJL48" s="225"/>
      <c r="SJM48" s="220"/>
      <c r="SJN48" s="221"/>
      <c r="SJO48" s="222"/>
      <c r="SJP48" s="222"/>
      <c r="SJQ48" s="223"/>
      <c r="SJR48" s="223"/>
      <c r="SJS48" s="224"/>
      <c r="SJT48" s="223"/>
      <c r="SJU48" s="223"/>
      <c r="SJV48" s="223"/>
      <c r="SJW48" s="223"/>
      <c r="SJX48" s="225"/>
      <c r="SJY48" s="220"/>
      <c r="SJZ48" s="221"/>
      <c r="SKA48" s="222"/>
      <c r="SKB48" s="222"/>
      <c r="SKC48" s="223"/>
      <c r="SKD48" s="223"/>
      <c r="SKE48" s="224"/>
      <c r="SKF48" s="223"/>
      <c r="SKG48" s="223"/>
      <c r="SKH48" s="223"/>
      <c r="SKI48" s="223"/>
      <c r="SKJ48" s="225"/>
      <c r="SKK48" s="220"/>
      <c r="SKL48" s="221"/>
      <c r="SKM48" s="222"/>
      <c r="SKN48" s="222"/>
      <c r="SKO48" s="223"/>
      <c r="SKP48" s="223"/>
      <c r="SKQ48" s="224"/>
      <c r="SKR48" s="223"/>
      <c r="SKS48" s="223"/>
      <c r="SKT48" s="223"/>
      <c r="SKU48" s="223"/>
      <c r="SKV48" s="225"/>
      <c r="SKW48" s="220"/>
      <c r="SKX48" s="221"/>
      <c r="SKY48" s="222"/>
      <c r="SKZ48" s="222"/>
      <c r="SLA48" s="223"/>
      <c r="SLB48" s="223"/>
      <c r="SLC48" s="224"/>
      <c r="SLD48" s="223"/>
      <c r="SLE48" s="223"/>
      <c r="SLF48" s="223"/>
      <c r="SLG48" s="223"/>
      <c r="SLH48" s="225"/>
      <c r="SLI48" s="220"/>
      <c r="SLJ48" s="221"/>
      <c r="SLK48" s="222"/>
      <c r="SLL48" s="222"/>
      <c r="SLM48" s="223"/>
      <c r="SLN48" s="223"/>
      <c r="SLO48" s="224"/>
      <c r="SLP48" s="223"/>
      <c r="SLQ48" s="223"/>
      <c r="SLR48" s="223"/>
      <c r="SLS48" s="223"/>
      <c r="SLT48" s="225"/>
      <c r="SLU48" s="220"/>
      <c r="SLV48" s="221"/>
      <c r="SLW48" s="222"/>
      <c r="SLX48" s="222"/>
      <c r="SLY48" s="223"/>
      <c r="SLZ48" s="223"/>
      <c r="SMA48" s="224"/>
      <c r="SMB48" s="223"/>
      <c r="SMC48" s="223"/>
      <c r="SMD48" s="223"/>
      <c r="SME48" s="223"/>
      <c r="SMF48" s="225"/>
      <c r="SMG48" s="220"/>
      <c r="SMH48" s="221"/>
      <c r="SMI48" s="222"/>
      <c r="SMJ48" s="222"/>
      <c r="SMK48" s="223"/>
      <c r="SML48" s="223"/>
      <c r="SMM48" s="224"/>
      <c r="SMN48" s="223"/>
      <c r="SMO48" s="223"/>
      <c r="SMP48" s="223"/>
      <c r="SMQ48" s="223"/>
      <c r="SMR48" s="225"/>
      <c r="SMS48" s="220"/>
      <c r="SMT48" s="221"/>
      <c r="SMU48" s="222"/>
      <c r="SMV48" s="222"/>
      <c r="SMW48" s="223"/>
      <c r="SMX48" s="223"/>
      <c r="SMY48" s="224"/>
      <c r="SMZ48" s="223"/>
      <c r="SNA48" s="223"/>
      <c r="SNB48" s="223"/>
      <c r="SNC48" s="223"/>
      <c r="SND48" s="225"/>
      <c r="SNE48" s="220"/>
      <c r="SNF48" s="221"/>
      <c r="SNG48" s="222"/>
      <c r="SNH48" s="222"/>
      <c r="SNI48" s="223"/>
      <c r="SNJ48" s="223"/>
      <c r="SNK48" s="224"/>
      <c r="SNL48" s="223"/>
      <c r="SNM48" s="223"/>
      <c r="SNN48" s="223"/>
      <c r="SNO48" s="223"/>
      <c r="SNP48" s="225"/>
      <c r="SNQ48" s="220"/>
      <c r="SNR48" s="221"/>
      <c r="SNS48" s="222"/>
      <c r="SNT48" s="222"/>
      <c r="SNU48" s="223"/>
      <c r="SNV48" s="223"/>
      <c r="SNW48" s="224"/>
      <c r="SNX48" s="223"/>
      <c r="SNY48" s="223"/>
      <c r="SNZ48" s="223"/>
      <c r="SOA48" s="223"/>
      <c r="SOB48" s="225"/>
      <c r="SOC48" s="220"/>
      <c r="SOD48" s="221"/>
      <c r="SOE48" s="222"/>
      <c r="SOF48" s="222"/>
      <c r="SOG48" s="223"/>
      <c r="SOH48" s="223"/>
      <c r="SOI48" s="224"/>
      <c r="SOJ48" s="223"/>
      <c r="SOK48" s="223"/>
      <c r="SOL48" s="223"/>
      <c r="SOM48" s="223"/>
      <c r="SON48" s="225"/>
      <c r="SOO48" s="220"/>
      <c r="SOP48" s="221"/>
      <c r="SOQ48" s="222"/>
      <c r="SOR48" s="222"/>
      <c r="SOS48" s="223"/>
      <c r="SOT48" s="223"/>
      <c r="SOU48" s="224"/>
      <c r="SOV48" s="223"/>
      <c r="SOW48" s="223"/>
      <c r="SOX48" s="223"/>
      <c r="SOY48" s="223"/>
      <c r="SOZ48" s="225"/>
      <c r="SPA48" s="220"/>
      <c r="SPB48" s="221"/>
      <c r="SPC48" s="222"/>
      <c r="SPD48" s="222"/>
      <c r="SPE48" s="223"/>
      <c r="SPF48" s="223"/>
      <c r="SPG48" s="224"/>
      <c r="SPH48" s="223"/>
      <c r="SPI48" s="223"/>
      <c r="SPJ48" s="223"/>
      <c r="SPK48" s="223"/>
      <c r="SPL48" s="225"/>
      <c r="SPM48" s="220"/>
      <c r="SPN48" s="221"/>
      <c r="SPO48" s="222"/>
      <c r="SPP48" s="222"/>
      <c r="SPQ48" s="223"/>
      <c r="SPR48" s="223"/>
      <c r="SPS48" s="224"/>
      <c r="SPT48" s="223"/>
      <c r="SPU48" s="223"/>
      <c r="SPV48" s="223"/>
      <c r="SPW48" s="223"/>
      <c r="SPX48" s="225"/>
      <c r="SPY48" s="220"/>
      <c r="SPZ48" s="221"/>
      <c r="SQA48" s="222"/>
      <c r="SQB48" s="222"/>
      <c r="SQC48" s="223"/>
      <c r="SQD48" s="223"/>
      <c r="SQE48" s="224"/>
      <c r="SQF48" s="223"/>
      <c r="SQG48" s="223"/>
      <c r="SQH48" s="223"/>
      <c r="SQI48" s="223"/>
      <c r="SQJ48" s="225"/>
      <c r="SQK48" s="220"/>
      <c r="SQL48" s="221"/>
      <c r="SQM48" s="222"/>
      <c r="SQN48" s="222"/>
      <c r="SQO48" s="223"/>
      <c r="SQP48" s="223"/>
      <c r="SQQ48" s="224"/>
      <c r="SQR48" s="223"/>
      <c r="SQS48" s="223"/>
      <c r="SQT48" s="223"/>
      <c r="SQU48" s="223"/>
      <c r="SQV48" s="225"/>
      <c r="SQW48" s="220"/>
      <c r="SQX48" s="221"/>
      <c r="SQY48" s="222"/>
      <c r="SQZ48" s="222"/>
      <c r="SRA48" s="223"/>
      <c r="SRB48" s="223"/>
      <c r="SRC48" s="224"/>
      <c r="SRD48" s="223"/>
      <c r="SRE48" s="223"/>
      <c r="SRF48" s="223"/>
      <c r="SRG48" s="223"/>
      <c r="SRH48" s="225"/>
      <c r="SRI48" s="220"/>
      <c r="SRJ48" s="221"/>
      <c r="SRK48" s="222"/>
      <c r="SRL48" s="222"/>
      <c r="SRM48" s="223"/>
      <c r="SRN48" s="223"/>
      <c r="SRO48" s="224"/>
      <c r="SRP48" s="223"/>
      <c r="SRQ48" s="223"/>
      <c r="SRR48" s="223"/>
      <c r="SRS48" s="223"/>
      <c r="SRT48" s="225"/>
      <c r="SRU48" s="220"/>
      <c r="SRV48" s="221"/>
      <c r="SRW48" s="222"/>
      <c r="SRX48" s="222"/>
      <c r="SRY48" s="223"/>
      <c r="SRZ48" s="223"/>
      <c r="SSA48" s="224"/>
      <c r="SSB48" s="223"/>
      <c r="SSC48" s="223"/>
      <c r="SSD48" s="223"/>
      <c r="SSE48" s="223"/>
      <c r="SSF48" s="225"/>
      <c r="SSG48" s="220"/>
      <c r="SSH48" s="221"/>
      <c r="SSI48" s="222"/>
      <c r="SSJ48" s="222"/>
      <c r="SSK48" s="223"/>
      <c r="SSL48" s="223"/>
      <c r="SSM48" s="224"/>
      <c r="SSN48" s="223"/>
      <c r="SSO48" s="223"/>
      <c r="SSP48" s="223"/>
      <c r="SSQ48" s="223"/>
      <c r="SSR48" s="225"/>
      <c r="SSS48" s="220"/>
      <c r="SST48" s="221"/>
      <c r="SSU48" s="222"/>
      <c r="SSV48" s="222"/>
      <c r="SSW48" s="223"/>
      <c r="SSX48" s="223"/>
      <c r="SSY48" s="224"/>
      <c r="SSZ48" s="223"/>
      <c r="STA48" s="223"/>
      <c r="STB48" s="223"/>
      <c r="STC48" s="223"/>
      <c r="STD48" s="225"/>
      <c r="STE48" s="220"/>
      <c r="STF48" s="221"/>
      <c r="STG48" s="222"/>
      <c r="STH48" s="222"/>
      <c r="STI48" s="223"/>
      <c r="STJ48" s="223"/>
      <c r="STK48" s="224"/>
      <c r="STL48" s="223"/>
      <c r="STM48" s="223"/>
      <c r="STN48" s="223"/>
      <c r="STO48" s="223"/>
      <c r="STP48" s="225"/>
      <c r="STQ48" s="220"/>
      <c r="STR48" s="221"/>
      <c r="STS48" s="222"/>
      <c r="STT48" s="222"/>
      <c r="STU48" s="223"/>
      <c r="STV48" s="223"/>
      <c r="STW48" s="224"/>
      <c r="STX48" s="223"/>
      <c r="STY48" s="223"/>
      <c r="STZ48" s="223"/>
      <c r="SUA48" s="223"/>
      <c r="SUB48" s="225"/>
      <c r="SUC48" s="220"/>
      <c r="SUD48" s="221"/>
      <c r="SUE48" s="222"/>
      <c r="SUF48" s="222"/>
      <c r="SUG48" s="223"/>
      <c r="SUH48" s="223"/>
      <c r="SUI48" s="224"/>
      <c r="SUJ48" s="223"/>
      <c r="SUK48" s="223"/>
      <c r="SUL48" s="223"/>
      <c r="SUM48" s="223"/>
      <c r="SUN48" s="225"/>
      <c r="SUO48" s="220"/>
      <c r="SUP48" s="221"/>
      <c r="SUQ48" s="222"/>
      <c r="SUR48" s="222"/>
      <c r="SUS48" s="223"/>
      <c r="SUT48" s="223"/>
      <c r="SUU48" s="224"/>
      <c r="SUV48" s="223"/>
      <c r="SUW48" s="223"/>
      <c r="SUX48" s="223"/>
      <c r="SUY48" s="223"/>
      <c r="SUZ48" s="225"/>
      <c r="SVA48" s="220"/>
      <c r="SVB48" s="221"/>
      <c r="SVC48" s="222"/>
      <c r="SVD48" s="222"/>
      <c r="SVE48" s="223"/>
      <c r="SVF48" s="223"/>
      <c r="SVG48" s="224"/>
      <c r="SVH48" s="223"/>
      <c r="SVI48" s="223"/>
      <c r="SVJ48" s="223"/>
      <c r="SVK48" s="223"/>
      <c r="SVL48" s="225"/>
      <c r="SVM48" s="220"/>
      <c r="SVN48" s="221"/>
      <c r="SVO48" s="222"/>
      <c r="SVP48" s="222"/>
      <c r="SVQ48" s="223"/>
      <c r="SVR48" s="223"/>
      <c r="SVS48" s="224"/>
      <c r="SVT48" s="223"/>
      <c r="SVU48" s="223"/>
      <c r="SVV48" s="223"/>
      <c r="SVW48" s="223"/>
      <c r="SVX48" s="225"/>
      <c r="SVY48" s="220"/>
      <c r="SVZ48" s="221"/>
      <c r="SWA48" s="222"/>
      <c r="SWB48" s="222"/>
      <c r="SWC48" s="223"/>
      <c r="SWD48" s="223"/>
      <c r="SWE48" s="224"/>
      <c r="SWF48" s="223"/>
      <c r="SWG48" s="223"/>
      <c r="SWH48" s="223"/>
      <c r="SWI48" s="223"/>
      <c r="SWJ48" s="225"/>
      <c r="SWK48" s="220"/>
      <c r="SWL48" s="221"/>
      <c r="SWM48" s="222"/>
      <c r="SWN48" s="222"/>
      <c r="SWO48" s="223"/>
      <c r="SWP48" s="223"/>
      <c r="SWQ48" s="224"/>
      <c r="SWR48" s="223"/>
      <c r="SWS48" s="223"/>
      <c r="SWT48" s="223"/>
      <c r="SWU48" s="223"/>
      <c r="SWV48" s="225"/>
      <c r="SWW48" s="220"/>
      <c r="SWX48" s="221"/>
      <c r="SWY48" s="222"/>
      <c r="SWZ48" s="222"/>
      <c r="SXA48" s="223"/>
      <c r="SXB48" s="223"/>
      <c r="SXC48" s="224"/>
      <c r="SXD48" s="223"/>
      <c r="SXE48" s="223"/>
      <c r="SXF48" s="223"/>
      <c r="SXG48" s="223"/>
      <c r="SXH48" s="225"/>
      <c r="SXI48" s="220"/>
      <c r="SXJ48" s="221"/>
      <c r="SXK48" s="222"/>
      <c r="SXL48" s="222"/>
      <c r="SXM48" s="223"/>
      <c r="SXN48" s="223"/>
      <c r="SXO48" s="224"/>
      <c r="SXP48" s="223"/>
      <c r="SXQ48" s="223"/>
      <c r="SXR48" s="223"/>
      <c r="SXS48" s="223"/>
      <c r="SXT48" s="225"/>
      <c r="SXU48" s="220"/>
      <c r="SXV48" s="221"/>
      <c r="SXW48" s="222"/>
      <c r="SXX48" s="222"/>
      <c r="SXY48" s="223"/>
      <c r="SXZ48" s="223"/>
      <c r="SYA48" s="224"/>
      <c r="SYB48" s="223"/>
      <c r="SYC48" s="223"/>
      <c r="SYD48" s="223"/>
      <c r="SYE48" s="223"/>
      <c r="SYF48" s="225"/>
      <c r="SYG48" s="220"/>
      <c r="SYH48" s="221"/>
      <c r="SYI48" s="222"/>
      <c r="SYJ48" s="222"/>
      <c r="SYK48" s="223"/>
      <c r="SYL48" s="223"/>
      <c r="SYM48" s="224"/>
      <c r="SYN48" s="223"/>
      <c r="SYO48" s="223"/>
      <c r="SYP48" s="223"/>
      <c r="SYQ48" s="223"/>
      <c r="SYR48" s="225"/>
      <c r="SYS48" s="220"/>
      <c r="SYT48" s="221"/>
      <c r="SYU48" s="222"/>
      <c r="SYV48" s="222"/>
      <c r="SYW48" s="223"/>
      <c r="SYX48" s="223"/>
      <c r="SYY48" s="224"/>
      <c r="SYZ48" s="223"/>
      <c r="SZA48" s="223"/>
      <c r="SZB48" s="223"/>
      <c r="SZC48" s="223"/>
      <c r="SZD48" s="225"/>
      <c r="SZE48" s="220"/>
      <c r="SZF48" s="221"/>
      <c r="SZG48" s="222"/>
      <c r="SZH48" s="222"/>
      <c r="SZI48" s="223"/>
      <c r="SZJ48" s="223"/>
      <c r="SZK48" s="224"/>
      <c r="SZL48" s="223"/>
      <c r="SZM48" s="223"/>
      <c r="SZN48" s="223"/>
      <c r="SZO48" s="223"/>
      <c r="SZP48" s="225"/>
      <c r="SZQ48" s="220"/>
      <c r="SZR48" s="221"/>
      <c r="SZS48" s="222"/>
      <c r="SZT48" s="222"/>
      <c r="SZU48" s="223"/>
      <c r="SZV48" s="223"/>
      <c r="SZW48" s="224"/>
      <c r="SZX48" s="223"/>
      <c r="SZY48" s="223"/>
      <c r="SZZ48" s="223"/>
      <c r="TAA48" s="223"/>
      <c r="TAB48" s="225"/>
      <c r="TAC48" s="220"/>
      <c r="TAD48" s="221"/>
      <c r="TAE48" s="222"/>
      <c r="TAF48" s="222"/>
      <c r="TAG48" s="223"/>
      <c r="TAH48" s="223"/>
      <c r="TAI48" s="224"/>
      <c r="TAJ48" s="223"/>
      <c r="TAK48" s="223"/>
      <c r="TAL48" s="223"/>
      <c r="TAM48" s="223"/>
      <c r="TAN48" s="225"/>
      <c r="TAO48" s="220"/>
      <c r="TAP48" s="221"/>
      <c r="TAQ48" s="222"/>
      <c r="TAR48" s="222"/>
      <c r="TAS48" s="223"/>
      <c r="TAT48" s="223"/>
      <c r="TAU48" s="224"/>
      <c r="TAV48" s="223"/>
      <c r="TAW48" s="223"/>
      <c r="TAX48" s="223"/>
      <c r="TAY48" s="223"/>
      <c r="TAZ48" s="225"/>
      <c r="TBA48" s="220"/>
      <c r="TBB48" s="221"/>
      <c r="TBC48" s="222"/>
      <c r="TBD48" s="222"/>
      <c r="TBE48" s="223"/>
      <c r="TBF48" s="223"/>
      <c r="TBG48" s="224"/>
      <c r="TBH48" s="223"/>
      <c r="TBI48" s="223"/>
      <c r="TBJ48" s="223"/>
      <c r="TBK48" s="223"/>
      <c r="TBL48" s="225"/>
      <c r="TBM48" s="220"/>
      <c r="TBN48" s="221"/>
      <c r="TBO48" s="222"/>
      <c r="TBP48" s="222"/>
      <c r="TBQ48" s="223"/>
      <c r="TBR48" s="223"/>
      <c r="TBS48" s="224"/>
      <c r="TBT48" s="223"/>
      <c r="TBU48" s="223"/>
      <c r="TBV48" s="223"/>
      <c r="TBW48" s="223"/>
      <c r="TBX48" s="225"/>
      <c r="TBY48" s="220"/>
      <c r="TBZ48" s="221"/>
      <c r="TCA48" s="222"/>
      <c r="TCB48" s="222"/>
      <c r="TCC48" s="223"/>
      <c r="TCD48" s="223"/>
      <c r="TCE48" s="224"/>
      <c r="TCF48" s="223"/>
      <c r="TCG48" s="223"/>
      <c r="TCH48" s="223"/>
      <c r="TCI48" s="223"/>
      <c r="TCJ48" s="225"/>
      <c r="TCK48" s="220"/>
      <c r="TCL48" s="221"/>
      <c r="TCM48" s="222"/>
      <c r="TCN48" s="222"/>
      <c r="TCO48" s="223"/>
      <c r="TCP48" s="223"/>
      <c r="TCQ48" s="224"/>
      <c r="TCR48" s="223"/>
      <c r="TCS48" s="223"/>
      <c r="TCT48" s="223"/>
      <c r="TCU48" s="223"/>
      <c r="TCV48" s="225"/>
      <c r="TCW48" s="220"/>
      <c r="TCX48" s="221"/>
      <c r="TCY48" s="222"/>
      <c r="TCZ48" s="222"/>
      <c r="TDA48" s="223"/>
      <c r="TDB48" s="223"/>
      <c r="TDC48" s="224"/>
      <c r="TDD48" s="223"/>
      <c r="TDE48" s="223"/>
      <c r="TDF48" s="223"/>
      <c r="TDG48" s="223"/>
      <c r="TDH48" s="225"/>
      <c r="TDI48" s="220"/>
      <c r="TDJ48" s="221"/>
      <c r="TDK48" s="222"/>
      <c r="TDL48" s="222"/>
      <c r="TDM48" s="223"/>
      <c r="TDN48" s="223"/>
      <c r="TDO48" s="224"/>
      <c r="TDP48" s="223"/>
      <c r="TDQ48" s="223"/>
      <c r="TDR48" s="223"/>
      <c r="TDS48" s="223"/>
      <c r="TDT48" s="225"/>
      <c r="TDU48" s="220"/>
      <c r="TDV48" s="221"/>
      <c r="TDW48" s="222"/>
      <c r="TDX48" s="222"/>
      <c r="TDY48" s="223"/>
      <c r="TDZ48" s="223"/>
      <c r="TEA48" s="224"/>
      <c r="TEB48" s="223"/>
      <c r="TEC48" s="223"/>
      <c r="TED48" s="223"/>
      <c r="TEE48" s="223"/>
      <c r="TEF48" s="225"/>
      <c r="TEG48" s="220"/>
      <c r="TEH48" s="221"/>
      <c r="TEI48" s="222"/>
      <c r="TEJ48" s="222"/>
      <c r="TEK48" s="223"/>
      <c r="TEL48" s="223"/>
      <c r="TEM48" s="224"/>
      <c r="TEN48" s="223"/>
      <c r="TEO48" s="223"/>
      <c r="TEP48" s="223"/>
      <c r="TEQ48" s="223"/>
      <c r="TER48" s="225"/>
      <c r="TES48" s="220"/>
      <c r="TET48" s="221"/>
      <c r="TEU48" s="222"/>
      <c r="TEV48" s="222"/>
      <c r="TEW48" s="223"/>
      <c r="TEX48" s="223"/>
      <c r="TEY48" s="224"/>
      <c r="TEZ48" s="223"/>
      <c r="TFA48" s="223"/>
      <c r="TFB48" s="223"/>
      <c r="TFC48" s="223"/>
      <c r="TFD48" s="225"/>
      <c r="TFE48" s="220"/>
      <c r="TFF48" s="221"/>
      <c r="TFG48" s="222"/>
      <c r="TFH48" s="222"/>
      <c r="TFI48" s="223"/>
      <c r="TFJ48" s="223"/>
      <c r="TFK48" s="224"/>
      <c r="TFL48" s="223"/>
      <c r="TFM48" s="223"/>
      <c r="TFN48" s="223"/>
      <c r="TFO48" s="223"/>
      <c r="TFP48" s="225"/>
      <c r="TFQ48" s="220"/>
      <c r="TFR48" s="221"/>
      <c r="TFS48" s="222"/>
      <c r="TFT48" s="222"/>
      <c r="TFU48" s="223"/>
      <c r="TFV48" s="223"/>
      <c r="TFW48" s="224"/>
      <c r="TFX48" s="223"/>
      <c r="TFY48" s="223"/>
      <c r="TFZ48" s="223"/>
      <c r="TGA48" s="223"/>
      <c r="TGB48" s="225"/>
      <c r="TGC48" s="220"/>
      <c r="TGD48" s="221"/>
      <c r="TGE48" s="222"/>
      <c r="TGF48" s="222"/>
      <c r="TGG48" s="223"/>
      <c r="TGH48" s="223"/>
      <c r="TGI48" s="224"/>
      <c r="TGJ48" s="223"/>
      <c r="TGK48" s="223"/>
      <c r="TGL48" s="223"/>
      <c r="TGM48" s="223"/>
      <c r="TGN48" s="225"/>
      <c r="TGO48" s="220"/>
      <c r="TGP48" s="221"/>
      <c r="TGQ48" s="222"/>
      <c r="TGR48" s="222"/>
      <c r="TGS48" s="223"/>
      <c r="TGT48" s="223"/>
      <c r="TGU48" s="224"/>
      <c r="TGV48" s="223"/>
      <c r="TGW48" s="223"/>
      <c r="TGX48" s="223"/>
      <c r="TGY48" s="223"/>
      <c r="TGZ48" s="225"/>
      <c r="THA48" s="220"/>
      <c r="THB48" s="221"/>
      <c r="THC48" s="222"/>
      <c r="THD48" s="222"/>
      <c r="THE48" s="223"/>
      <c r="THF48" s="223"/>
      <c r="THG48" s="224"/>
      <c r="THH48" s="223"/>
      <c r="THI48" s="223"/>
      <c r="THJ48" s="223"/>
      <c r="THK48" s="223"/>
      <c r="THL48" s="225"/>
      <c r="THM48" s="220"/>
      <c r="THN48" s="221"/>
      <c r="THO48" s="222"/>
      <c r="THP48" s="222"/>
      <c r="THQ48" s="223"/>
      <c r="THR48" s="223"/>
      <c r="THS48" s="224"/>
      <c r="THT48" s="223"/>
      <c r="THU48" s="223"/>
      <c r="THV48" s="223"/>
      <c r="THW48" s="223"/>
      <c r="THX48" s="225"/>
      <c r="THY48" s="220"/>
      <c r="THZ48" s="221"/>
      <c r="TIA48" s="222"/>
      <c r="TIB48" s="222"/>
      <c r="TIC48" s="223"/>
      <c r="TID48" s="223"/>
      <c r="TIE48" s="224"/>
      <c r="TIF48" s="223"/>
      <c r="TIG48" s="223"/>
      <c r="TIH48" s="223"/>
      <c r="TII48" s="223"/>
      <c r="TIJ48" s="225"/>
      <c r="TIK48" s="220"/>
      <c r="TIL48" s="221"/>
      <c r="TIM48" s="222"/>
      <c r="TIN48" s="222"/>
      <c r="TIO48" s="223"/>
      <c r="TIP48" s="223"/>
      <c r="TIQ48" s="224"/>
      <c r="TIR48" s="223"/>
      <c r="TIS48" s="223"/>
      <c r="TIT48" s="223"/>
      <c r="TIU48" s="223"/>
      <c r="TIV48" s="225"/>
      <c r="TIW48" s="220"/>
      <c r="TIX48" s="221"/>
      <c r="TIY48" s="222"/>
      <c r="TIZ48" s="222"/>
      <c r="TJA48" s="223"/>
      <c r="TJB48" s="223"/>
      <c r="TJC48" s="224"/>
      <c r="TJD48" s="223"/>
      <c r="TJE48" s="223"/>
      <c r="TJF48" s="223"/>
      <c r="TJG48" s="223"/>
      <c r="TJH48" s="225"/>
      <c r="TJI48" s="220"/>
      <c r="TJJ48" s="221"/>
      <c r="TJK48" s="222"/>
      <c r="TJL48" s="222"/>
      <c r="TJM48" s="223"/>
      <c r="TJN48" s="223"/>
      <c r="TJO48" s="224"/>
      <c r="TJP48" s="223"/>
      <c r="TJQ48" s="223"/>
      <c r="TJR48" s="223"/>
      <c r="TJS48" s="223"/>
      <c r="TJT48" s="225"/>
      <c r="TJU48" s="220"/>
      <c r="TJV48" s="221"/>
      <c r="TJW48" s="222"/>
      <c r="TJX48" s="222"/>
      <c r="TJY48" s="223"/>
      <c r="TJZ48" s="223"/>
      <c r="TKA48" s="224"/>
      <c r="TKB48" s="223"/>
      <c r="TKC48" s="223"/>
      <c r="TKD48" s="223"/>
      <c r="TKE48" s="223"/>
      <c r="TKF48" s="225"/>
      <c r="TKG48" s="220"/>
      <c r="TKH48" s="221"/>
      <c r="TKI48" s="222"/>
      <c r="TKJ48" s="222"/>
      <c r="TKK48" s="223"/>
      <c r="TKL48" s="223"/>
      <c r="TKM48" s="224"/>
      <c r="TKN48" s="223"/>
      <c r="TKO48" s="223"/>
      <c r="TKP48" s="223"/>
      <c r="TKQ48" s="223"/>
      <c r="TKR48" s="225"/>
      <c r="TKS48" s="220"/>
      <c r="TKT48" s="221"/>
      <c r="TKU48" s="222"/>
      <c r="TKV48" s="222"/>
      <c r="TKW48" s="223"/>
      <c r="TKX48" s="223"/>
      <c r="TKY48" s="224"/>
      <c r="TKZ48" s="223"/>
      <c r="TLA48" s="223"/>
      <c r="TLB48" s="223"/>
      <c r="TLC48" s="223"/>
      <c r="TLD48" s="225"/>
      <c r="TLE48" s="220"/>
      <c r="TLF48" s="221"/>
      <c r="TLG48" s="222"/>
      <c r="TLH48" s="222"/>
      <c r="TLI48" s="223"/>
      <c r="TLJ48" s="223"/>
      <c r="TLK48" s="224"/>
      <c r="TLL48" s="223"/>
      <c r="TLM48" s="223"/>
      <c r="TLN48" s="223"/>
      <c r="TLO48" s="223"/>
      <c r="TLP48" s="225"/>
      <c r="TLQ48" s="220"/>
      <c r="TLR48" s="221"/>
      <c r="TLS48" s="222"/>
      <c r="TLT48" s="222"/>
      <c r="TLU48" s="223"/>
      <c r="TLV48" s="223"/>
      <c r="TLW48" s="224"/>
      <c r="TLX48" s="223"/>
      <c r="TLY48" s="223"/>
      <c r="TLZ48" s="223"/>
      <c r="TMA48" s="223"/>
      <c r="TMB48" s="225"/>
      <c r="TMC48" s="220"/>
      <c r="TMD48" s="221"/>
      <c r="TME48" s="222"/>
      <c r="TMF48" s="222"/>
      <c r="TMG48" s="223"/>
      <c r="TMH48" s="223"/>
      <c r="TMI48" s="224"/>
      <c r="TMJ48" s="223"/>
      <c r="TMK48" s="223"/>
      <c r="TML48" s="223"/>
      <c r="TMM48" s="223"/>
      <c r="TMN48" s="225"/>
      <c r="TMO48" s="220"/>
      <c r="TMP48" s="221"/>
      <c r="TMQ48" s="222"/>
      <c r="TMR48" s="222"/>
      <c r="TMS48" s="223"/>
      <c r="TMT48" s="223"/>
      <c r="TMU48" s="224"/>
      <c r="TMV48" s="223"/>
      <c r="TMW48" s="223"/>
      <c r="TMX48" s="223"/>
      <c r="TMY48" s="223"/>
      <c r="TMZ48" s="225"/>
      <c r="TNA48" s="220"/>
      <c r="TNB48" s="221"/>
      <c r="TNC48" s="222"/>
      <c r="TND48" s="222"/>
      <c r="TNE48" s="223"/>
      <c r="TNF48" s="223"/>
      <c r="TNG48" s="224"/>
      <c r="TNH48" s="223"/>
      <c r="TNI48" s="223"/>
      <c r="TNJ48" s="223"/>
      <c r="TNK48" s="223"/>
      <c r="TNL48" s="225"/>
      <c r="TNM48" s="220"/>
      <c r="TNN48" s="221"/>
      <c r="TNO48" s="222"/>
      <c r="TNP48" s="222"/>
      <c r="TNQ48" s="223"/>
      <c r="TNR48" s="223"/>
      <c r="TNS48" s="224"/>
      <c r="TNT48" s="223"/>
      <c r="TNU48" s="223"/>
      <c r="TNV48" s="223"/>
      <c r="TNW48" s="223"/>
      <c r="TNX48" s="225"/>
      <c r="TNY48" s="220"/>
      <c r="TNZ48" s="221"/>
      <c r="TOA48" s="222"/>
      <c r="TOB48" s="222"/>
      <c r="TOC48" s="223"/>
      <c r="TOD48" s="223"/>
      <c r="TOE48" s="224"/>
      <c r="TOF48" s="223"/>
      <c r="TOG48" s="223"/>
      <c r="TOH48" s="223"/>
      <c r="TOI48" s="223"/>
      <c r="TOJ48" s="225"/>
      <c r="TOK48" s="220"/>
      <c r="TOL48" s="221"/>
      <c r="TOM48" s="222"/>
      <c r="TON48" s="222"/>
      <c r="TOO48" s="223"/>
      <c r="TOP48" s="223"/>
      <c r="TOQ48" s="224"/>
      <c r="TOR48" s="223"/>
      <c r="TOS48" s="223"/>
      <c r="TOT48" s="223"/>
      <c r="TOU48" s="223"/>
      <c r="TOV48" s="225"/>
      <c r="TOW48" s="220"/>
      <c r="TOX48" s="221"/>
      <c r="TOY48" s="222"/>
      <c r="TOZ48" s="222"/>
      <c r="TPA48" s="223"/>
      <c r="TPB48" s="223"/>
      <c r="TPC48" s="224"/>
      <c r="TPD48" s="223"/>
      <c r="TPE48" s="223"/>
      <c r="TPF48" s="223"/>
      <c r="TPG48" s="223"/>
      <c r="TPH48" s="225"/>
      <c r="TPI48" s="220"/>
      <c r="TPJ48" s="221"/>
      <c r="TPK48" s="222"/>
      <c r="TPL48" s="222"/>
      <c r="TPM48" s="223"/>
      <c r="TPN48" s="223"/>
      <c r="TPO48" s="224"/>
      <c r="TPP48" s="223"/>
      <c r="TPQ48" s="223"/>
      <c r="TPR48" s="223"/>
      <c r="TPS48" s="223"/>
      <c r="TPT48" s="225"/>
      <c r="TPU48" s="220"/>
      <c r="TPV48" s="221"/>
      <c r="TPW48" s="222"/>
      <c r="TPX48" s="222"/>
      <c r="TPY48" s="223"/>
      <c r="TPZ48" s="223"/>
      <c r="TQA48" s="224"/>
      <c r="TQB48" s="223"/>
      <c r="TQC48" s="223"/>
      <c r="TQD48" s="223"/>
      <c r="TQE48" s="223"/>
      <c r="TQF48" s="225"/>
      <c r="TQG48" s="220"/>
      <c r="TQH48" s="221"/>
      <c r="TQI48" s="222"/>
      <c r="TQJ48" s="222"/>
      <c r="TQK48" s="223"/>
      <c r="TQL48" s="223"/>
      <c r="TQM48" s="224"/>
      <c r="TQN48" s="223"/>
      <c r="TQO48" s="223"/>
      <c r="TQP48" s="223"/>
      <c r="TQQ48" s="223"/>
      <c r="TQR48" s="225"/>
      <c r="TQS48" s="220"/>
      <c r="TQT48" s="221"/>
      <c r="TQU48" s="222"/>
      <c r="TQV48" s="222"/>
      <c r="TQW48" s="223"/>
      <c r="TQX48" s="223"/>
      <c r="TQY48" s="224"/>
      <c r="TQZ48" s="223"/>
      <c r="TRA48" s="223"/>
      <c r="TRB48" s="223"/>
      <c r="TRC48" s="223"/>
      <c r="TRD48" s="225"/>
      <c r="TRE48" s="220"/>
      <c r="TRF48" s="221"/>
      <c r="TRG48" s="222"/>
      <c r="TRH48" s="222"/>
      <c r="TRI48" s="223"/>
      <c r="TRJ48" s="223"/>
      <c r="TRK48" s="224"/>
      <c r="TRL48" s="223"/>
      <c r="TRM48" s="223"/>
      <c r="TRN48" s="223"/>
      <c r="TRO48" s="223"/>
      <c r="TRP48" s="225"/>
      <c r="TRQ48" s="220"/>
      <c r="TRR48" s="221"/>
      <c r="TRS48" s="222"/>
      <c r="TRT48" s="222"/>
      <c r="TRU48" s="223"/>
      <c r="TRV48" s="223"/>
      <c r="TRW48" s="224"/>
      <c r="TRX48" s="223"/>
      <c r="TRY48" s="223"/>
      <c r="TRZ48" s="223"/>
      <c r="TSA48" s="223"/>
      <c r="TSB48" s="225"/>
      <c r="TSC48" s="220"/>
      <c r="TSD48" s="221"/>
      <c r="TSE48" s="222"/>
      <c r="TSF48" s="222"/>
      <c r="TSG48" s="223"/>
      <c r="TSH48" s="223"/>
      <c r="TSI48" s="224"/>
      <c r="TSJ48" s="223"/>
      <c r="TSK48" s="223"/>
      <c r="TSL48" s="223"/>
      <c r="TSM48" s="223"/>
      <c r="TSN48" s="225"/>
      <c r="TSO48" s="220"/>
      <c r="TSP48" s="221"/>
      <c r="TSQ48" s="222"/>
      <c r="TSR48" s="222"/>
      <c r="TSS48" s="223"/>
      <c r="TST48" s="223"/>
      <c r="TSU48" s="224"/>
      <c r="TSV48" s="223"/>
      <c r="TSW48" s="223"/>
      <c r="TSX48" s="223"/>
      <c r="TSY48" s="223"/>
      <c r="TSZ48" s="225"/>
      <c r="TTA48" s="220"/>
      <c r="TTB48" s="221"/>
      <c r="TTC48" s="222"/>
      <c r="TTD48" s="222"/>
      <c r="TTE48" s="223"/>
      <c r="TTF48" s="223"/>
      <c r="TTG48" s="224"/>
      <c r="TTH48" s="223"/>
      <c r="TTI48" s="223"/>
      <c r="TTJ48" s="223"/>
      <c r="TTK48" s="223"/>
      <c r="TTL48" s="225"/>
      <c r="TTM48" s="220"/>
      <c r="TTN48" s="221"/>
      <c r="TTO48" s="222"/>
      <c r="TTP48" s="222"/>
      <c r="TTQ48" s="223"/>
      <c r="TTR48" s="223"/>
      <c r="TTS48" s="224"/>
      <c r="TTT48" s="223"/>
      <c r="TTU48" s="223"/>
      <c r="TTV48" s="223"/>
      <c r="TTW48" s="223"/>
      <c r="TTX48" s="225"/>
      <c r="TTY48" s="220"/>
      <c r="TTZ48" s="221"/>
      <c r="TUA48" s="222"/>
      <c r="TUB48" s="222"/>
      <c r="TUC48" s="223"/>
      <c r="TUD48" s="223"/>
      <c r="TUE48" s="224"/>
      <c r="TUF48" s="223"/>
      <c r="TUG48" s="223"/>
      <c r="TUH48" s="223"/>
      <c r="TUI48" s="223"/>
      <c r="TUJ48" s="225"/>
      <c r="TUK48" s="220"/>
      <c r="TUL48" s="221"/>
      <c r="TUM48" s="222"/>
      <c r="TUN48" s="222"/>
      <c r="TUO48" s="223"/>
      <c r="TUP48" s="223"/>
      <c r="TUQ48" s="224"/>
      <c r="TUR48" s="223"/>
      <c r="TUS48" s="223"/>
      <c r="TUT48" s="223"/>
      <c r="TUU48" s="223"/>
      <c r="TUV48" s="225"/>
      <c r="TUW48" s="220"/>
      <c r="TUX48" s="221"/>
      <c r="TUY48" s="222"/>
      <c r="TUZ48" s="222"/>
      <c r="TVA48" s="223"/>
      <c r="TVB48" s="223"/>
      <c r="TVC48" s="224"/>
      <c r="TVD48" s="223"/>
      <c r="TVE48" s="223"/>
      <c r="TVF48" s="223"/>
      <c r="TVG48" s="223"/>
      <c r="TVH48" s="225"/>
      <c r="TVI48" s="220"/>
      <c r="TVJ48" s="221"/>
      <c r="TVK48" s="222"/>
      <c r="TVL48" s="222"/>
      <c r="TVM48" s="223"/>
      <c r="TVN48" s="223"/>
      <c r="TVO48" s="224"/>
      <c r="TVP48" s="223"/>
      <c r="TVQ48" s="223"/>
      <c r="TVR48" s="223"/>
      <c r="TVS48" s="223"/>
      <c r="TVT48" s="225"/>
      <c r="TVU48" s="220"/>
      <c r="TVV48" s="221"/>
      <c r="TVW48" s="222"/>
      <c r="TVX48" s="222"/>
      <c r="TVY48" s="223"/>
      <c r="TVZ48" s="223"/>
      <c r="TWA48" s="224"/>
      <c r="TWB48" s="223"/>
      <c r="TWC48" s="223"/>
      <c r="TWD48" s="223"/>
      <c r="TWE48" s="223"/>
      <c r="TWF48" s="225"/>
      <c r="TWG48" s="220"/>
      <c r="TWH48" s="221"/>
      <c r="TWI48" s="222"/>
      <c r="TWJ48" s="222"/>
      <c r="TWK48" s="223"/>
      <c r="TWL48" s="223"/>
      <c r="TWM48" s="224"/>
      <c r="TWN48" s="223"/>
      <c r="TWO48" s="223"/>
      <c r="TWP48" s="223"/>
      <c r="TWQ48" s="223"/>
      <c r="TWR48" s="225"/>
      <c r="TWS48" s="220"/>
      <c r="TWT48" s="221"/>
      <c r="TWU48" s="222"/>
      <c r="TWV48" s="222"/>
      <c r="TWW48" s="223"/>
      <c r="TWX48" s="223"/>
      <c r="TWY48" s="224"/>
      <c r="TWZ48" s="223"/>
      <c r="TXA48" s="223"/>
      <c r="TXB48" s="223"/>
      <c r="TXC48" s="223"/>
      <c r="TXD48" s="225"/>
      <c r="TXE48" s="220"/>
      <c r="TXF48" s="221"/>
      <c r="TXG48" s="222"/>
      <c r="TXH48" s="222"/>
      <c r="TXI48" s="223"/>
      <c r="TXJ48" s="223"/>
      <c r="TXK48" s="224"/>
      <c r="TXL48" s="223"/>
      <c r="TXM48" s="223"/>
      <c r="TXN48" s="223"/>
      <c r="TXO48" s="223"/>
      <c r="TXP48" s="225"/>
      <c r="TXQ48" s="220"/>
      <c r="TXR48" s="221"/>
      <c r="TXS48" s="222"/>
      <c r="TXT48" s="222"/>
      <c r="TXU48" s="223"/>
      <c r="TXV48" s="223"/>
      <c r="TXW48" s="224"/>
      <c r="TXX48" s="223"/>
      <c r="TXY48" s="223"/>
      <c r="TXZ48" s="223"/>
      <c r="TYA48" s="223"/>
      <c r="TYB48" s="225"/>
      <c r="TYC48" s="220"/>
      <c r="TYD48" s="221"/>
      <c r="TYE48" s="222"/>
      <c r="TYF48" s="222"/>
      <c r="TYG48" s="223"/>
      <c r="TYH48" s="223"/>
      <c r="TYI48" s="224"/>
      <c r="TYJ48" s="223"/>
      <c r="TYK48" s="223"/>
      <c r="TYL48" s="223"/>
      <c r="TYM48" s="223"/>
      <c r="TYN48" s="225"/>
      <c r="TYO48" s="220"/>
      <c r="TYP48" s="221"/>
      <c r="TYQ48" s="222"/>
      <c r="TYR48" s="222"/>
      <c r="TYS48" s="223"/>
      <c r="TYT48" s="223"/>
      <c r="TYU48" s="224"/>
      <c r="TYV48" s="223"/>
      <c r="TYW48" s="223"/>
      <c r="TYX48" s="223"/>
      <c r="TYY48" s="223"/>
      <c r="TYZ48" s="225"/>
      <c r="TZA48" s="220"/>
      <c r="TZB48" s="221"/>
      <c r="TZC48" s="222"/>
      <c r="TZD48" s="222"/>
      <c r="TZE48" s="223"/>
      <c r="TZF48" s="223"/>
      <c r="TZG48" s="224"/>
      <c r="TZH48" s="223"/>
      <c r="TZI48" s="223"/>
      <c r="TZJ48" s="223"/>
      <c r="TZK48" s="223"/>
      <c r="TZL48" s="225"/>
      <c r="TZM48" s="220"/>
      <c r="TZN48" s="221"/>
      <c r="TZO48" s="222"/>
      <c r="TZP48" s="222"/>
      <c r="TZQ48" s="223"/>
      <c r="TZR48" s="223"/>
      <c r="TZS48" s="224"/>
      <c r="TZT48" s="223"/>
      <c r="TZU48" s="223"/>
      <c r="TZV48" s="223"/>
      <c r="TZW48" s="223"/>
      <c r="TZX48" s="225"/>
      <c r="TZY48" s="220"/>
      <c r="TZZ48" s="221"/>
      <c r="UAA48" s="222"/>
      <c r="UAB48" s="222"/>
      <c r="UAC48" s="223"/>
      <c r="UAD48" s="223"/>
      <c r="UAE48" s="224"/>
      <c r="UAF48" s="223"/>
      <c r="UAG48" s="223"/>
      <c r="UAH48" s="223"/>
      <c r="UAI48" s="223"/>
      <c r="UAJ48" s="225"/>
      <c r="UAK48" s="220"/>
      <c r="UAL48" s="221"/>
      <c r="UAM48" s="222"/>
      <c r="UAN48" s="222"/>
      <c r="UAO48" s="223"/>
      <c r="UAP48" s="223"/>
      <c r="UAQ48" s="224"/>
      <c r="UAR48" s="223"/>
      <c r="UAS48" s="223"/>
      <c r="UAT48" s="223"/>
      <c r="UAU48" s="223"/>
      <c r="UAV48" s="225"/>
      <c r="UAW48" s="220"/>
      <c r="UAX48" s="221"/>
      <c r="UAY48" s="222"/>
      <c r="UAZ48" s="222"/>
      <c r="UBA48" s="223"/>
      <c r="UBB48" s="223"/>
      <c r="UBC48" s="224"/>
      <c r="UBD48" s="223"/>
      <c r="UBE48" s="223"/>
      <c r="UBF48" s="223"/>
      <c r="UBG48" s="223"/>
      <c r="UBH48" s="225"/>
      <c r="UBI48" s="220"/>
      <c r="UBJ48" s="221"/>
      <c r="UBK48" s="222"/>
      <c r="UBL48" s="222"/>
      <c r="UBM48" s="223"/>
      <c r="UBN48" s="223"/>
      <c r="UBO48" s="224"/>
      <c r="UBP48" s="223"/>
      <c r="UBQ48" s="223"/>
      <c r="UBR48" s="223"/>
      <c r="UBS48" s="223"/>
      <c r="UBT48" s="225"/>
      <c r="UBU48" s="220"/>
      <c r="UBV48" s="221"/>
      <c r="UBW48" s="222"/>
      <c r="UBX48" s="222"/>
      <c r="UBY48" s="223"/>
      <c r="UBZ48" s="223"/>
      <c r="UCA48" s="224"/>
      <c r="UCB48" s="223"/>
      <c r="UCC48" s="223"/>
      <c r="UCD48" s="223"/>
      <c r="UCE48" s="223"/>
      <c r="UCF48" s="225"/>
      <c r="UCG48" s="220"/>
      <c r="UCH48" s="221"/>
      <c r="UCI48" s="222"/>
      <c r="UCJ48" s="222"/>
      <c r="UCK48" s="223"/>
      <c r="UCL48" s="223"/>
      <c r="UCM48" s="224"/>
      <c r="UCN48" s="223"/>
      <c r="UCO48" s="223"/>
      <c r="UCP48" s="223"/>
      <c r="UCQ48" s="223"/>
      <c r="UCR48" s="225"/>
      <c r="UCS48" s="220"/>
      <c r="UCT48" s="221"/>
      <c r="UCU48" s="222"/>
      <c r="UCV48" s="222"/>
      <c r="UCW48" s="223"/>
      <c r="UCX48" s="223"/>
      <c r="UCY48" s="224"/>
      <c r="UCZ48" s="223"/>
      <c r="UDA48" s="223"/>
      <c r="UDB48" s="223"/>
      <c r="UDC48" s="223"/>
      <c r="UDD48" s="225"/>
      <c r="UDE48" s="220"/>
      <c r="UDF48" s="221"/>
      <c r="UDG48" s="222"/>
      <c r="UDH48" s="222"/>
      <c r="UDI48" s="223"/>
      <c r="UDJ48" s="223"/>
      <c r="UDK48" s="224"/>
      <c r="UDL48" s="223"/>
      <c r="UDM48" s="223"/>
      <c r="UDN48" s="223"/>
      <c r="UDO48" s="223"/>
      <c r="UDP48" s="225"/>
      <c r="UDQ48" s="220"/>
      <c r="UDR48" s="221"/>
      <c r="UDS48" s="222"/>
      <c r="UDT48" s="222"/>
      <c r="UDU48" s="223"/>
      <c r="UDV48" s="223"/>
      <c r="UDW48" s="224"/>
      <c r="UDX48" s="223"/>
      <c r="UDY48" s="223"/>
      <c r="UDZ48" s="223"/>
      <c r="UEA48" s="223"/>
      <c r="UEB48" s="225"/>
      <c r="UEC48" s="220"/>
      <c r="UED48" s="221"/>
      <c r="UEE48" s="222"/>
      <c r="UEF48" s="222"/>
      <c r="UEG48" s="223"/>
      <c r="UEH48" s="223"/>
      <c r="UEI48" s="224"/>
      <c r="UEJ48" s="223"/>
      <c r="UEK48" s="223"/>
      <c r="UEL48" s="223"/>
      <c r="UEM48" s="223"/>
      <c r="UEN48" s="225"/>
      <c r="UEO48" s="220"/>
      <c r="UEP48" s="221"/>
      <c r="UEQ48" s="222"/>
      <c r="UER48" s="222"/>
      <c r="UES48" s="223"/>
      <c r="UET48" s="223"/>
      <c r="UEU48" s="224"/>
      <c r="UEV48" s="223"/>
      <c r="UEW48" s="223"/>
      <c r="UEX48" s="223"/>
      <c r="UEY48" s="223"/>
      <c r="UEZ48" s="225"/>
      <c r="UFA48" s="220"/>
      <c r="UFB48" s="221"/>
      <c r="UFC48" s="222"/>
      <c r="UFD48" s="222"/>
      <c r="UFE48" s="223"/>
      <c r="UFF48" s="223"/>
      <c r="UFG48" s="224"/>
      <c r="UFH48" s="223"/>
      <c r="UFI48" s="223"/>
      <c r="UFJ48" s="223"/>
      <c r="UFK48" s="223"/>
      <c r="UFL48" s="225"/>
      <c r="UFM48" s="220"/>
      <c r="UFN48" s="221"/>
      <c r="UFO48" s="222"/>
      <c r="UFP48" s="222"/>
      <c r="UFQ48" s="223"/>
      <c r="UFR48" s="223"/>
      <c r="UFS48" s="224"/>
      <c r="UFT48" s="223"/>
      <c r="UFU48" s="223"/>
      <c r="UFV48" s="223"/>
      <c r="UFW48" s="223"/>
      <c r="UFX48" s="225"/>
      <c r="UFY48" s="220"/>
      <c r="UFZ48" s="221"/>
      <c r="UGA48" s="222"/>
      <c r="UGB48" s="222"/>
      <c r="UGC48" s="223"/>
      <c r="UGD48" s="223"/>
      <c r="UGE48" s="224"/>
      <c r="UGF48" s="223"/>
      <c r="UGG48" s="223"/>
      <c r="UGH48" s="223"/>
      <c r="UGI48" s="223"/>
      <c r="UGJ48" s="225"/>
      <c r="UGK48" s="220"/>
      <c r="UGL48" s="221"/>
      <c r="UGM48" s="222"/>
      <c r="UGN48" s="222"/>
      <c r="UGO48" s="223"/>
      <c r="UGP48" s="223"/>
      <c r="UGQ48" s="224"/>
      <c r="UGR48" s="223"/>
      <c r="UGS48" s="223"/>
      <c r="UGT48" s="223"/>
      <c r="UGU48" s="223"/>
      <c r="UGV48" s="225"/>
      <c r="UGW48" s="220"/>
      <c r="UGX48" s="221"/>
      <c r="UGY48" s="222"/>
      <c r="UGZ48" s="222"/>
      <c r="UHA48" s="223"/>
      <c r="UHB48" s="223"/>
      <c r="UHC48" s="224"/>
      <c r="UHD48" s="223"/>
      <c r="UHE48" s="223"/>
      <c r="UHF48" s="223"/>
      <c r="UHG48" s="223"/>
      <c r="UHH48" s="225"/>
      <c r="UHI48" s="220"/>
      <c r="UHJ48" s="221"/>
      <c r="UHK48" s="222"/>
      <c r="UHL48" s="222"/>
      <c r="UHM48" s="223"/>
      <c r="UHN48" s="223"/>
      <c r="UHO48" s="224"/>
      <c r="UHP48" s="223"/>
      <c r="UHQ48" s="223"/>
      <c r="UHR48" s="223"/>
      <c r="UHS48" s="223"/>
      <c r="UHT48" s="225"/>
      <c r="UHU48" s="220"/>
      <c r="UHV48" s="221"/>
      <c r="UHW48" s="222"/>
      <c r="UHX48" s="222"/>
      <c r="UHY48" s="223"/>
      <c r="UHZ48" s="223"/>
      <c r="UIA48" s="224"/>
      <c r="UIB48" s="223"/>
      <c r="UIC48" s="223"/>
      <c r="UID48" s="223"/>
      <c r="UIE48" s="223"/>
      <c r="UIF48" s="225"/>
      <c r="UIG48" s="220"/>
      <c r="UIH48" s="221"/>
      <c r="UII48" s="222"/>
      <c r="UIJ48" s="222"/>
      <c r="UIK48" s="223"/>
      <c r="UIL48" s="223"/>
      <c r="UIM48" s="224"/>
      <c r="UIN48" s="223"/>
      <c r="UIO48" s="223"/>
      <c r="UIP48" s="223"/>
      <c r="UIQ48" s="223"/>
      <c r="UIR48" s="225"/>
      <c r="UIS48" s="220"/>
      <c r="UIT48" s="221"/>
      <c r="UIU48" s="222"/>
      <c r="UIV48" s="222"/>
      <c r="UIW48" s="223"/>
      <c r="UIX48" s="223"/>
      <c r="UIY48" s="224"/>
      <c r="UIZ48" s="223"/>
      <c r="UJA48" s="223"/>
      <c r="UJB48" s="223"/>
      <c r="UJC48" s="223"/>
      <c r="UJD48" s="225"/>
      <c r="UJE48" s="220"/>
      <c r="UJF48" s="221"/>
      <c r="UJG48" s="222"/>
      <c r="UJH48" s="222"/>
      <c r="UJI48" s="223"/>
      <c r="UJJ48" s="223"/>
      <c r="UJK48" s="224"/>
      <c r="UJL48" s="223"/>
      <c r="UJM48" s="223"/>
      <c r="UJN48" s="223"/>
      <c r="UJO48" s="223"/>
      <c r="UJP48" s="225"/>
      <c r="UJQ48" s="220"/>
      <c r="UJR48" s="221"/>
      <c r="UJS48" s="222"/>
      <c r="UJT48" s="222"/>
      <c r="UJU48" s="223"/>
      <c r="UJV48" s="223"/>
      <c r="UJW48" s="224"/>
      <c r="UJX48" s="223"/>
      <c r="UJY48" s="223"/>
      <c r="UJZ48" s="223"/>
      <c r="UKA48" s="223"/>
      <c r="UKB48" s="225"/>
      <c r="UKC48" s="220"/>
      <c r="UKD48" s="221"/>
      <c r="UKE48" s="222"/>
      <c r="UKF48" s="222"/>
      <c r="UKG48" s="223"/>
      <c r="UKH48" s="223"/>
      <c r="UKI48" s="224"/>
      <c r="UKJ48" s="223"/>
      <c r="UKK48" s="223"/>
      <c r="UKL48" s="223"/>
      <c r="UKM48" s="223"/>
      <c r="UKN48" s="225"/>
      <c r="UKO48" s="220"/>
      <c r="UKP48" s="221"/>
      <c r="UKQ48" s="222"/>
      <c r="UKR48" s="222"/>
      <c r="UKS48" s="223"/>
      <c r="UKT48" s="223"/>
      <c r="UKU48" s="224"/>
      <c r="UKV48" s="223"/>
      <c r="UKW48" s="223"/>
      <c r="UKX48" s="223"/>
      <c r="UKY48" s="223"/>
      <c r="UKZ48" s="225"/>
      <c r="ULA48" s="220"/>
      <c r="ULB48" s="221"/>
      <c r="ULC48" s="222"/>
      <c r="ULD48" s="222"/>
      <c r="ULE48" s="223"/>
      <c r="ULF48" s="223"/>
      <c r="ULG48" s="224"/>
      <c r="ULH48" s="223"/>
      <c r="ULI48" s="223"/>
      <c r="ULJ48" s="223"/>
      <c r="ULK48" s="223"/>
      <c r="ULL48" s="225"/>
      <c r="ULM48" s="220"/>
      <c r="ULN48" s="221"/>
      <c r="ULO48" s="222"/>
      <c r="ULP48" s="222"/>
      <c r="ULQ48" s="223"/>
      <c r="ULR48" s="223"/>
      <c r="ULS48" s="224"/>
      <c r="ULT48" s="223"/>
      <c r="ULU48" s="223"/>
      <c r="ULV48" s="223"/>
      <c r="ULW48" s="223"/>
      <c r="ULX48" s="225"/>
      <c r="ULY48" s="220"/>
      <c r="ULZ48" s="221"/>
      <c r="UMA48" s="222"/>
      <c r="UMB48" s="222"/>
      <c r="UMC48" s="223"/>
      <c r="UMD48" s="223"/>
      <c r="UME48" s="224"/>
      <c r="UMF48" s="223"/>
      <c r="UMG48" s="223"/>
      <c r="UMH48" s="223"/>
      <c r="UMI48" s="223"/>
      <c r="UMJ48" s="225"/>
      <c r="UMK48" s="220"/>
      <c r="UML48" s="221"/>
      <c r="UMM48" s="222"/>
      <c r="UMN48" s="222"/>
      <c r="UMO48" s="223"/>
      <c r="UMP48" s="223"/>
      <c r="UMQ48" s="224"/>
      <c r="UMR48" s="223"/>
      <c r="UMS48" s="223"/>
      <c r="UMT48" s="223"/>
      <c r="UMU48" s="223"/>
      <c r="UMV48" s="225"/>
      <c r="UMW48" s="220"/>
      <c r="UMX48" s="221"/>
      <c r="UMY48" s="222"/>
      <c r="UMZ48" s="222"/>
      <c r="UNA48" s="223"/>
      <c r="UNB48" s="223"/>
      <c r="UNC48" s="224"/>
      <c r="UND48" s="223"/>
      <c r="UNE48" s="223"/>
      <c r="UNF48" s="223"/>
      <c r="UNG48" s="223"/>
      <c r="UNH48" s="225"/>
      <c r="UNI48" s="220"/>
      <c r="UNJ48" s="221"/>
      <c r="UNK48" s="222"/>
      <c r="UNL48" s="222"/>
      <c r="UNM48" s="223"/>
      <c r="UNN48" s="223"/>
      <c r="UNO48" s="224"/>
      <c r="UNP48" s="223"/>
      <c r="UNQ48" s="223"/>
      <c r="UNR48" s="223"/>
      <c r="UNS48" s="223"/>
      <c r="UNT48" s="225"/>
      <c r="UNU48" s="220"/>
      <c r="UNV48" s="221"/>
      <c r="UNW48" s="222"/>
      <c r="UNX48" s="222"/>
      <c r="UNY48" s="223"/>
      <c r="UNZ48" s="223"/>
      <c r="UOA48" s="224"/>
      <c r="UOB48" s="223"/>
      <c r="UOC48" s="223"/>
      <c r="UOD48" s="223"/>
      <c r="UOE48" s="223"/>
      <c r="UOF48" s="225"/>
      <c r="UOG48" s="220"/>
      <c r="UOH48" s="221"/>
      <c r="UOI48" s="222"/>
      <c r="UOJ48" s="222"/>
      <c r="UOK48" s="223"/>
      <c r="UOL48" s="223"/>
      <c r="UOM48" s="224"/>
      <c r="UON48" s="223"/>
      <c r="UOO48" s="223"/>
      <c r="UOP48" s="223"/>
      <c r="UOQ48" s="223"/>
      <c r="UOR48" s="225"/>
      <c r="UOS48" s="220"/>
      <c r="UOT48" s="221"/>
      <c r="UOU48" s="222"/>
      <c r="UOV48" s="222"/>
      <c r="UOW48" s="223"/>
      <c r="UOX48" s="223"/>
      <c r="UOY48" s="224"/>
      <c r="UOZ48" s="223"/>
      <c r="UPA48" s="223"/>
      <c r="UPB48" s="223"/>
      <c r="UPC48" s="223"/>
      <c r="UPD48" s="225"/>
      <c r="UPE48" s="220"/>
      <c r="UPF48" s="221"/>
      <c r="UPG48" s="222"/>
      <c r="UPH48" s="222"/>
      <c r="UPI48" s="223"/>
      <c r="UPJ48" s="223"/>
      <c r="UPK48" s="224"/>
      <c r="UPL48" s="223"/>
      <c r="UPM48" s="223"/>
      <c r="UPN48" s="223"/>
      <c r="UPO48" s="223"/>
      <c r="UPP48" s="225"/>
      <c r="UPQ48" s="220"/>
      <c r="UPR48" s="221"/>
      <c r="UPS48" s="222"/>
      <c r="UPT48" s="222"/>
      <c r="UPU48" s="223"/>
      <c r="UPV48" s="223"/>
      <c r="UPW48" s="224"/>
      <c r="UPX48" s="223"/>
      <c r="UPY48" s="223"/>
      <c r="UPZ48" s="223"/>
      <c r="UQA48" s="223"/>
      <c r="UQB48" s="225"/>
      <c r="UQC48" s="220"/>
      <c r="UQD48" s="221"/>
      <c r="UQE48" s="222"/>
      <c r="UQF48" s="222"/>
      <c r="UQG48" s="223"/>
      <c r="UQH48" s="223"/>
      <c r="UQI48" s="224"/>
      <c r="UQJ48" s="223"/>
      <c r="UQK48" s="223"/>
      <c r="UQL48" s="223"/>
      <c r="UQM48" s="223"/>
      <c r="UQN48" s="225"/>
      <c r="UQO48" s="220"/>
      <c r="UQP48" s="221"/>
      <c r="UQQ48" s="222"/>
      <c r="UQR48" s="222"/>
      <c r="UQS48" s="223"/>
      <c r="UQT48" s="223"/>
      <c r="UQU48" s="224"/>
      <c r="UQV48" s="223"/>
      <c r="UQW48" s="223"/>
      <c r="UQX48" s="223"/>
      <c r="UQY48" s="223"/>
      <c r="UQZ48" s="225"/>
      <c r="URA48" s="220"/>
      <c r="URB48" s="221"/>
      <c r="URC48" s="222"/>
      <c r="URD48" s="222"/>
      <c r="URE48" s="223"/>
      <c r="URF48" s="223"/>
      <c r="URG48" s="224"/>
      <c r="URH48" s="223"/>
      <c r="URI48" s="223"/>
      <c r="URJ48" s="223"/>
      <c r="URK48" s="223"/>
      <c r="URL48" s="225"/>
      <c r="URM48" s="220"/>
      <c r="URN48" s="221"/>
      <c r="URO48" s="222"/>
      <c r="URP48" s="222"/>
      <c r="URQ48" s="223"/>
      <c r="URR48" s="223"/>
      <c r="URS48" s="224"/>
      <c r="URT48" s="223"/>
      <c r="URU48" s="223"/>
      <c r="URV48" s="223"/>
      <c r="URW48" s="223"/>
      <c r="URX48" s="225"/>
      <c r="URY48" s="220"/>
      <c r="URZ48" s="221"/>
      <c r="USA48" s="222"/>
      <c r="USB48" s="222"/>
      <c r="USC48" s="223"/>
      <c r="USD48" s="223"/>
      <c r="USE48" s="224"/>
      <c r="USF48" s="223"/>
      <c r="USG48" s="223"/>
      <c r="USH48" s="223"/>
      <c r="USI48" s="223"/>
      <c r="USJ48" s="225"/>
      <c r="USK48" s="220"/>
      <c r="USL48" s="221"/>
      <c r="USM48" s="222"/>
      <c r="USN48" s="222"/>
      <c r="USO48" s="223"/>
      <c r="USP48" s="223"/>
      <c r="USQ48" s="224"/>
      <c r="USR48" s="223"/>
      <c r="USS48" s="223"/>
      <c r="UST48" s="223"/>
      <c r="USU48" s="223"/>
      <c r="USV48" s="225"/>
      <c r="USW48" s="220"/>
      <c r="USX48" s="221"/>
      <c r="USY48" s="222"/>
      <c r="USZ48" s="222"/>
      <c r="UTA48" s="223"/>
      <c r="UTB48" s="223"/>
      <c r="UTC48" s="224"/>
      <c r="UTD48" s="223"/>
      <c r="UTE48" s="223"/>
      <c r="UTF48" s="223"/>
      <c r="UTG48" s="223"/>
      <c r="UTH48" s="225"/>
      <c r="UTI48" s="220"/>
      <c r="UTJ48" s="221"/>
      <c r="UTK48" s="222"/>
      <c r="UTL48" s="222"/>
      <c r="UTM48" s="223"/>
      <c r="UTN48" s="223"/>
      <c r="UTO48" s="224"/>
      <c r="UTP48" s="223"/>
      <c r="UTQ48" s="223"/>
      <c r="UTR48" s="223"/>
      <c r="UTS48" s="223"/>
      <c r="UTT48" s="225"/>
      <c r="UTU48" s="220"/>
      <c r="UTV48" s="221"/>
      <c r="UTW48" s="222"/>
      <c r="UTX48" s="222"/>
      <c r="UTY48" s="223"/>
      <c r="UTZ48" s="223"/>
      <c r="UUA48" s="224"/>
      <c r="UUB48" s="223"/>
      <c r="UUC48" s="223"/>
      <c r="UUD48" s="223"/>
      <c r="UUE48" s="223"/>
      <c r="UUF48" s="225"/>
      <c r="UUG48" s="220"/>
      <c r="UUH48" s="221"/>
      <c r="UUI48" s="222"/>
      <c r="UUJ48" s="222"/>
      <c r="UUK48" s="223"/>
      <c r="UUL48" s="223"/>
      <c r="UUM48" s="224"/>
      <c r="UUN48" s="223"/>
      <c r="UUO48" s="223"/>
      <c r="UUP48" s="223"/>
      <c r="UUQ48" s="223"/>
      <c r="UUR48" s="225"/>
      <c r="UUS48" s="220"/>
      <c r="UUT48" s="221"/>
      <c r="UUU48" s="222"/>
      <c r="UUV48" s="222"/>
      <c r="UUW48" s="223"/>
      <c r="UUX48" s="223"/>
      <c r="UUY48" s="224"/>
      <c r="UUZ48" s="223"/>
      <c r="UVA48" s="223"/>
      <c r="UVB48" s="223"/>
      <c r="UVC48" s="223"/>
      <c r="UVD48" s="225"/>
      <c r="UVE48" s="220"/>
      <c r="UVF48" s="221"/>
      <c r="UVG48" s="222"/>
      <c r="UVH48" s="222"/>
      <c r="UVI48" s="223"/>
      <c r="UVJ48" s="223"/>
      <c r="UVK48" s="224"/>
      <c r="UVL48" s="223"/>
      <c r="UVM48" s="223"/>
      <c r="UVN48" s="223"/>
      <c r="UVO48" s="223"/>
      <c r="UVP48" s="225"/>
      <c r="UVQ48" s="220"/>
      <c r="UVR48" s="221"/>
      <c r="UVS48" s="222"/>
      <c r="UVT48" s="222"/>
      <c r="UVU48" s="223"/>
      <c r="UVV48" s="223"/>
      <c r="UVW48" s="224"/>
      <c r="UVX48" s="223"/>
      <c r="UVY48" s="223"/>
      <c r="UVZ48" s="223"/>
      <c r="UWA48" s="223"/>
      <c r="UWB48" s="225"/>
      <c r="UWC48" s="220"/>
      <c r="UWD48" s="221"/>
      <c r="UWE48" s="222"/>
      <c r="UWF48" s="222"/>
      <c r="UWG48" s="223"/>
      <c r="UWH48" s="223"/>
      <c r="UWI48" s="224"/>
      <c r="UWJ48" s="223"/>
      <c r="UWK48" s="223"/>
      <c r="UWL48" s="223"/>
      <c r="UWM48" s="223"/>
      <c r="UWN48" s="225"/>
      <c r="UWO48" s="220"/>
      <c r="UWP48" s="221"/>
      <c r="UWQ48" s="222"/>
      <c r="UWR48" s="222"/>
      <c r="UWS48" s="223"/>
      <c r="UWT48" s="223"/>
      <c r="UWU48" s="224"/>
      <c r="UWV48" s="223"/>
      <c r="UWW48" s="223"/>
      <c r="UWX48" s="223"/>
      <c r="UWY48" s="223"/>
      <c r="UWZ48" s="225"/>
      <c r="UXA48" s="220"/>
      <c r="UXB48" s="221"/>
      <c r="UXC48" s="222"/>
      <c r="UXD48" s="222"/>
      <c r="UXE48" s="223"/>
      <c r="UXF48" s="223"/>
      <c r="UXG48" s="224"/>
      <c r="UXH48" s="223"/>
      <c r="UXI48" s="223"/>
      <c r="UXJ48" s="223"/>
      <c r="UXK48" s="223"/>
      <c r="UXL48" s="225"/>
      <c r="UXM48" s="220"/>
      <c r="UXN48" s="221"/>
      <c r="UXO48" s="222"/>
      <c r="UXP48" s="222"/>
      <c r="UXQ48" s="223"/>
      <c r="UXR48" s="223"/>
      <c r="UXS48" s="224"/>
      <c r="UXT48" s="223"/>
      <c r="UXU48" s="223"/>
      <c r="UXV48" s="223"/>
      <c r="UXW48" s="223"/>
      <c r="UXX48" s="225"/>
      <c r="UXY48" s="220"/>
      <c r="UXZ48" s="221"/>
      <c r="UYA48" s="222"/>
      <c r="UYB48" s="222"/>
      <c r="UYC48" s="223"/>
      <c r="UYD48" s="223"/>
      <c r="UYE48" s="224"/>
      <c r="UYF48" s="223"/>
      <c r="UYG48" s="223"/>
      <c r="UYH48" s="223"/>
      <c r="UYI48" s="223"/>
      <c r="UYJ48" s="225"/>
      <c r="UYK48" s="220"/>
      <c r="UYL48" s="221"/>
      <c r="UYM48" s="222"/>
      <c r="UYN48" s="222"/>
      <c r="UYO48" s="223"/>
      <c r="UYP48" s="223"/>
      <c r="UYQ48" s="224"/>
      <c r="UYR48" s="223"/>
      <c r="UYS48" s="223"/>
      <c r="UYT48" s="223"/>
      <c r="UYU48" s="223"/>
      <c r="UYV48" s="225"/>
      <c r="UYW48" s="220"/>
      <c r="UYX48" s="221"/>
      <c r="UYY48" s="222"/>
      <c r="UYZ48" s="222"/>
      <c r="UZA48" s="223"/>
      <c r="UZB48" s="223"/>
      <c r="UZC48" s="224"/>
      <c r="UZD48" s="223"/>
      <c r="UZE48" s="223"/>
      <c r="UZF48" s="223"/>
      <c r="UZG48" s="223"/>
      <c r="UZH48" s="225"/>
      <c r="UZI48" s="220"/>
      <c r="UZJ48" s="221"/>
      <c r="UZK48" s="222"/>
      <c r="UZL48" s="222"/>
      <c r="UZM48" s="223"/>
      <c r="UZN48" s="223"/>
      <c r="UZO48" s="224"/>
      <c r="UZP48" s="223"/>
      <c r="UZQ48" s="223"/>
      <c r="UZR48" s="223"/>
      <c r="UZS48" s="223"/>
      <c r="UZT48" s="225"/>
      <c r="UZU48" s="220"/>
      <c r="UZV48" s="221"/>
      <c r="UZW48" s="222"/>
      <c r="UZX48" s="222"/>
      <c r="UZY48" s="223"/>
      <c r="UZZ48" s="223"/>
      <c r="VAA48" s="224"/>
      <c r="VAB48" s="223"/>
      <c r="VAC48" s="223"/>
      <c r="VAD48" s="223"/>
      <c r="VAE48" s="223"/>
      <c r="VAF48" s="225"/>
      <c r="VAG48" s="220"/>
      <c r="VAH48" s="221"/>
      <c r="VAI48" s="222"/>
      <c r="VAJ48" s="222"/>
      <c r="VAK48" s="223"/>
      <c r="VAL48" s="223"/>
      <c r="VAM48" s="224"/>
      <c r="VAN48" s="223"/>
      <c r="VAO48" s="223"/>
      <c r="VAP48" s="223"/>
      <c r="VAQ48" s="223"/>
      <c r="VAR48" s="225"/>
      <c r="VAS48" s="220"/>
      <c r="VAT48" s="221"/>
      <c r="VAU48" s="222"/>
      <c r="VAV48" s="222"/>
      <c r="VAW48" s="223"/>
      <c r="VAX48" s="223"/>
      <c r="VAY48" s="224"/>
      <c r="VAZ48" s="223"/>
      <c r="VBA48" s="223"/>
      <c r="VBB48" s="223"/>
      <c r="VBC48" s="223"/>
      <c r="VBD48" s="225"/>
      <c r="VBE48" s="220"/>
      <c r="VBF48" s="221"/>
      <c r="VBG48" s="222"/>
      <c r="VBH48" s="222"/>
      <c r="VBI48" s="223"/>
      <c r="VBJ48" s="223"/>
      <c r="VBK48" s="224"/>
      <c r="VBL48" s="223"/>
      <c r="VBM48" s="223"/>
      <c r="VBN48" s="223"/>
      <c r="VBO48" s="223"/>
      <c r="VBP48" s="225"/>
      <c r="VBQ48" s="220"/>
      <c r="VBR48" s="221"/>
      <c r="VBS48" s="222"/>
      <c r="VBT48" s="222"/>
      <c r="VBU48" s="223"/>
      <c r="VBV48" s="223"/>
      <c r="VBW48" s="224"/>
      <c r="VBX48" s="223"/>
      <c r="VBY48" s="223"/>
      <c r="VBZ48" s="223"/>
      <c r="VCA48" s="223"/>
      <c r="VCB48" s="225"/>
      <c r="VCC48" s="220"/>
      <c r="VCD48" s="221"/>
      <c r="VCE48" s="222"/>
      <c r="VCF48" s="222"/>
      <c r="VCG48" s="223"/>
      <c r="VCH48" s="223"/>
      <c r="VCI48" s="224"/>
      <c r="VCJ48" s="223"/>
      <c r="VCK48" s="223"/>
      <c r="VCL48" s="223"/>
      <c r="VCM48" s="223"/>
      <c r="VCN48" s="225"/>
      <c r="VCO48" s="220"/>
      <c r="VCP48" s="221"/>
      <c r="VCQ48" s="222"/>
      <c r="VCR48" s="222"/>
      <c r="VCS48" s="223"/>
      <c r="VCT48" s="223"/>
      <c r="VCU48" s="224"/>
      <c r="VCV48" s="223"/>
      <c r="VCW48" s="223"/>
      <c r="VCX48" s="223"/>
      <c r="VCY48" s="223"/>
      <c r="VCZ48" s="225"/>
      <c r="VDA48" s="220"/>
      <c r="VDB48" s="221"/>
      <c r="VDC48" s="222"/>
      <c r="VDD48" s="222"/>
      <c r="VDE48" s="223"/>
      <c r="VDF48" s="223"/>
      <c r="VDG48" s="224"/>
      <c r="VDH48" s="223"/>
      <c r="VDI48" s="223"/>
      <c r="VDJ48" s="223"/>
      <c r="VDK48" s="223"/>
      <c r="VDL48" s="225"/>
      <c r="VDM48" s="220"/>
      <c r="VDN48" s="221"/>
      <c r="VDO48" s="222"/>
      <c r="VDP48" s="222"/>
      <c r="VDQ48" s="223"/>
      <c r="VDR48" s="223"/>
      <c r="VDS48" s="224"/>
      <c r="VDT48" s="223"/>
      <c r="VDU48" s="223"/>
      <c r="VDV48" s="223"/>
      <c r="VDW48" s="223"/>
      <c r="VDX48" s="225"/>
      <c r="VDY48" s="220"/>
      <c r="VDZ48" s="221"/>
      <c r="VEA48" s="222"/>
      <c r="VEB48" s="222"/>
      <c r="VEC48" s="223"/>
      <c r="VED48" s="223"/>
      <c r="VEE48" s="224"/>
      <c r="VEF48" s="223"/>
      <c r="VEG48" s="223"/>
      <c r="VEH48" s="223"/>
      <c r="VEI48" s="223"/>
      <c r="VEJ48" s="225"/>
      <c r="VEK48" s="220"/>
      <c r="VEL48" s="221"/>
      <c r="VEM48" s="222"/>
      <c r="VEN48" s="222"/>
      <c r="VEO48" s="223"/>
      <c r="VEP48" s="223"/>
      <c r="VEQ48" s="224"/>
      <c r="VER48" s="223"/>
      <c r="VES48" s="223"/>
      <c r="VET48" s="223"/>
      <c r="VEU48" s="223"/>
      <c r="VEV48" s="225"/>
      <c r="VEW48" s="220"/>
      <c r="VEX48" s="221"/>
      <c r="VEY48" s="222"/>
      <c r="VEZ48" s="222"/>
      <c r="VFA48" s="223"/>
      <c r="VFB48" s="223"/>
      <c r="VFC48" s="224"/>
      <c r="VFD48" s="223"/>
      <c r="VFE48" s="223"/>
      <c r="VFF48" s="223"/>
      <c r="VFG48" s="223"/>
      <c r="VFH48" s="225"/>
      <c r="VFI48" s="220"/>
      <c r="VFJ48" s="221"/>
      <c r="VFK48" s="222"/>
      <c r="VFL48" s="222"/>
      <c r="VFM48" s="223"/>
      <c r="VFN48" s="223"/>
      <c r="VFO48" s="224"/>
      <c r="VFP48" s="223"/>
      <c r="VFQ48" s="223"/>
      <c r="VFR48" s="223"/>
      <c r="VFS48" s="223"/>
      <c r="VFT48" s="225"/>
      <c r="VFU48" s="220"/>
      <c r="VFV48" s="221"/>
      <c r="VFW48" s="222"/>
      <c r="VFX48" s="222"/>
      <c r="VFY48" s="223"/>
      <c r="VFZ48" s="223"/>
      <c r="VGA48" s="224"/>
      <c r="VGB48" s="223"/>
      <c r="VGC48" s="223"/>
      <c r="VGD48" s="223"/>
      <c r="VGE48" s="223"/>
      <c r="VGF48" s="225"/>
      <c r="VGG48" s="220"/>
      <c r="VGH48" s="221"/>
      <c r="VGI48" s="222"/>
      <c r="VGJ48" s="222"/>
      <c r="VGK48" s="223"/>
      <c r="VGL48" s="223"/>
      <c r="VGM48" s="224"/>
      <c r="VGN48" s="223"/>
      <c r="VGO48" s="223"/>
      <c r="VGP48" s="223"/>
      <c r="VGQ48" s="223"/>
      <c r="VGR48" s="225"/>
      <c r="VGS48" s="220"/>
      <c r="VGT48" s="221"/>
      <c r="VGU48" s="222"/>
      <c r="VGV48" s="222"/>
      <c r="VGW48" s="223"/>
      <c r="VGX48" s="223"/>
      <c r="VGY48" s="224"/>
      <c r="VGZ48" s="223"/>
      <c r="VHA48" s="223"/>
      <c r="VHB48" s="223"/>
      <c r="VHC48" s="223"/>
      <c r="VHD48" s="225"/>
      <c r="VHE48" s="220"/>
      <c r="VHF48" s="221"/>
      <c r="VHG48" s="222"/>
      <c r="VHH48" s="222"/>
      <c r="VHI48" s="223"/>
      <c r="VHJ48" s="223"/>
      <c r="VHK48" s="224"/>
      <c r="VHL48" s="223"/>
      <c r="VHM48" s="223"/>
      <c r="VHN48" s="223"/>
      <c r="VHO48" s="223"/>
      <c r="VHP48" s="225"/>
      <c r="VHQ48" s="220"/>
      <c r="VHR48" s="221"/>
      <c r="VHS48" s="222"/>
      <c r="VHT48" s="222"/>
      <c r="VHU48" s="223"/>
      <c r="VHV48" s="223"/>
      <c r="VHW48" s="224"/>
      <c r="VHX48" s="223"/>
      <c r="VHY48" s="223"/>
      <c r="VHZ48" s="223"/>
      <c r="VIA48" s="223"/>
      <c r="VIB48" s="225"/>
      <c r="VIC48" s="220"/>
      <c r="VID48" s="221"/>
      <c r="VIE48" s="222"/>
      <c r="VIF48" s="222"/>
      <c r="VIG48" s="223"/>
      <c r="VIH48" s="223"/>
      <c r="VII48" s="224"/>
      <c r="VIJ48" s="223"/>
      <c r="VIK48" s="223"/>
      <c r="VIL48" s="223"/>
      <c r="VIM48" s="223"/>
      <c r="VIN48" s="225"/>
      <c r="VIO48" s="220"/>
      <c r="VIP48" s="221"/>
      <c r="VIQ48" s="222"/>
      <c r="VIR48" s="222"/>
      <c r="VIS48" s="223"/>
      <c r="VIT48" s="223"/>
      <c r="VIU48" s="224"/>
      <c r="VIV48" s="223"/>
      <c r="VIW48" s="223"/>
      <c r="VIX48" s="223"/>
      <c r="VIY48" s="223"/>
      <c r="VIZ48" s="225"/>
      <c r="VJA48" s="220"/>
      <c r="VJB48" s="221"/>
      <c r="VJC48" s="222"/>
      <c r="VJD48" s="222"/>
      <c r="VJE48" s="223"/>
      <c r="VJF48" s="223"/>
      <c r="VJG48" s="224"/>
      <c r="VJH48" s="223"/>
      <c r="VJI48" s="223"/>
      <c r="VJJ48" s="223"/>
      <c r="VJK48" s="223"/>
      <c r="VJL48" s="225"/>
      <c r="VJM48" s="220"/>
      <c r="VJN48" s="221"/>
      <c r="VJO48" s="222"/>
      <c r="VJP48" s="222"/>
      <c r="VJQ48" s="223"/>
      <c r="VJR48" s="223"/>
      <c r="VJS48" s="224"/>
      <c r="VJT48" s="223"/>
      <c r="VJU48" s="223"/>
      <c r="VJV48" s="223"/>
      <c r="VJW48" s="223"/>
      <c r="VJX48" s="225"/>
      <c r="VJY48" s="220"/>
      <c r="VJZ48" s="221"/>
      <c r="VKA48" s="222"/>
      <c r="VKB48" s="222"/>
      <c r="VKC48" s="223"/>
      <c r="VKD48" s="223"/>
      <c r="VKE48" s="224"/>
      <c r="VKF48" s="223"/>
      <c r="VKG48" s="223"/>
      <c r="VKH48" s="223"/>
      <c r="VKI48" s="223"/>
      <c r="VKJ48" s="225"/>
      <c r="VKK48" s="220"/>
      <c r="VKL48" s="221"/>
      <c r="VKM48" s="222"/>
      <c r="VKN48" s="222"/>
      <c r="VKO48" s="223"/>
      <c r="VKP48" s="223"/>
      <c r="VKQ48" s="224"/>
      <c r="VKR48" s="223"/>
      <c r="VKS48" s="223"/>
      <c r="VKT48" s="223"/>
      <c r="VKU48" s="223"/>
      <c r="VKV48" s="225"/>
      <c r="VKW48" s="220"/>
      <c r="VKX48" s="221"/>
      <c r="VKY48" s="222"/>
      <c r="VKZ48" s="222"/>
      <c r="VLA48" s="223"/>
      <c r="VLB48" s="223"/>
      <c r="VLC48" s="224"/>
      <c r="VLD48" s="223"/>
      <c r="VLE48" s="223"/>
      <c r="VLF48" s="223"/>
      <c r="VLG48" s="223"/>
      <c r="VLH48" s="225"/>
      <c r="VLI48" s="220"/>
      <c r="VLJ48" s="221"/>
      <c r="VLK48" s="222"/>
      <c r="VLL48" s="222"/>
      <c r="VLM48" s="223"/>
      <c r="VLN48" s="223"/>
      <c r="VLO48" s="224"/>
      <c r="VLP48" s="223"/>
      <c r="VLQ48" s="223"/>
      <c r="VLR48" s="223"/>
      <c r="VLS48" s="223"/>
      <c r="VLT48" s="225"/>
      <c r="VLU48" s="220"/>
      <c r="VLV48" s="221"/>
      <c r="VLW48" s="222"/>
      <c r="VLX48" s="222"/>
      <c r="VLY48" s="223"/>
      <c r="VLZ48" s="223"/>
      <c r="VMA48" s="224"/>
      <c r="VMB48" s="223"/>
      <c r="VMC48" s="223"/>
      <c r="VMD48" s="223"/>
      <c r="VME48" s="223"/>
      <c r="VMF48" s="225"/>
      <c r="VMG48" s="220"/>
      <c r="VMH48" s="221"/>
      <c r="VMI48" s="222"/>
      <c r="VMJ48" s="222"/>
      <c r="VMK48" s="223"/>
      <c r="VML48" s="223"/>
      <c r="VMM48" s="224"/>
      <c r="VMN48" s="223"/>
      <c r="VMO48" s="223"/>
      <c r="VMP48" s="223"/>
      <c r="VMQ48" s="223"/>
      <c r="VMR48" s="225"/>
      <c r="VMS48" s="220"/>
      <c r="VMT48" s="221"/>
      <c r="VMU48" s="222"/>
      <c r="VMV48" s="222"/>
      <c r="VMW48" s="223"/>
      <c r="VMX48" s="223"/>
      <c r="VMY48" s="224"/>
      <c r="VMZ48" s="223"/>
      <c r="VNA48" s="223"/>
      <c r="VNB48" s="223"/>
      <c r="VNC48" s="223"/>
      <c r="VND48" s="225"/>
      <c r="VNE48" s="220"/>
      <c r="VNF48" s="221"/>
      <c r="VNG48" s="222"/>
      <c r="VNH48" s="222"/>
      <c r="VNI48" s="223"/>
      <c r="VNJ48" s="223"/>
      <c r="VNK48" s="224"/>
      <c r="VNL48" s="223"/>
      <c r="VNM48" s="223"/>
      <c r="VNN48" s="223"/>
      <c r="VNO48" s="223"/>
      <c r="VNP48" s="225"/>
      <c r="VNQ48" s="220"/>
      <c r="VNR48" s="221"/>
      <c r="VNS48" s="222"/>
      <c r="VNT48" s="222"/>
      <c r="VNU48" s="223"/>
      <c r="VNV48" s="223"/>
      <c r="VNW48" s="224"/>
      <c r="VNX48" s="223"/>
      <c r="VNY48" s="223"/>
      <c r="VNZ48" s="223"/>
      <c r="VOA48" s="223"/>
      <c r="VOB48" s="225"/>
      <c r="VOC48" s="220"/>
      <c r="VOD48" s="221"/>
      <c r="VOE48" s="222"/>
      <c r="VOF48" s="222"/>
      <c r="VOG48" s="223"/>
      <c r="VOH48" s="223"/>
      <c r="VOI48" s="224"/>
      <c r="VOJ48" s="223"/>
      <c r="VOK48" s="223"/>
      <c r="VOL48" s="223"/>
      <c r="VOM48" s="223"/>
      <c r="VON48" s="225"/>
      <c r="VOO48" s="220"/>
      <c r="VOP48" s="221"/>
      <c r="VOQ48" s="222"/>
      <c r="VOR48" s="222"/>
      <c r="VOS48" s="223"/>
      <c r="VOT48" s="223"/>
      <c r="VOU48" s="224"/>
      <c r="VOV48" s="223"/>
      <c r="VOW48" s="223"/>
      <c r="VOX48" s="223"/>
      <c r="VOY48" s="223"/>
      <c r="VOZ48" s="225"/>
      <c r="VPA48" s="220"/>
      <c r="VPB48" s="221"/>
      <c r="VPC48" s="222"/>
      <c r="VPD48" s="222"/>
      <c r="VPE48" s="223"/>
      <c r="VPF48" s="223"/>
      <c r="VPG48" s="224"/>
      <c r="VPH48" s="223"/>
      <c r="VPI48" s="223"/>
      <c r="VPJ48" s="223"/>
      <c r="VPK48" s="223"/>
      <c r="VPL48" s="225"/>
      <c r="VPM48" s="220"/>
      <c r="VPN48" s="221"/>
      <c r="VPO48" s="222"/>
      <c r="VPP48" s="222"/>
      <c r="VPQ48" s="223"/>
      <c r="VPR48" s="223"/>
      <c r="VPS48" s="224"/>
      <c r="VPT48" s="223"/>
      <c r="VPU48" s="223"/>
      <c r="VPV48" s="223"/>
      <c r="VPW48" s="223"/>
      <c r="VPX48" s="225"/>
      <c r="VPY48" s="220"/>
      <c r="VPZ48" s="221"/>
      <c r="VQA48" s="222"/>
      <c r="VQB48" s="222"/>
      <c r="VQC48" s="223"/>
      <c r="VQD48" s="223"/>
      <c r="VQE48" s="224"/>
      <c r="VQF48" s="223"/>
      <c r="VQG48" s="223"/>
      <c r="VQH48" s="223"/>
      <c r="VQI48" s="223"/>
      <c r="VQJ48" s="225"/>
      <c r="VQK48" s="220"/>
      <c r="VQL48" s="221"/>
      <c r="VQM48" s="222"/>
      <c r="VQN48" s="222"/>
      <c r="VQO48" s="223"/>
      <c r="VQP48" s="223"/>
      <c r="VQQ48" s="224"/>
      <c r="VQR48" s="223"/>
      <c r="VQS48" s="223"/>
      <c r="VQT48" s="223"/>
      <c r="VQU48" s="223"/>
      <c r="VQV48" s="225"/>
      <c r="VQW48" s="220"/>
      <c r="VQX48" s="221"/>
      <c r="VQY48" s="222"/>
      <c r="VQZ48" s="222"/>
      <c r="VRA48" s="223"/>
      <c r="VRB48" s="223"/>
      <c r="VRC48" s="224"/>
      <c r="VRD48" s="223"/>
      <c r="VRE48" s="223"/>
      <c r="VRF48" s="223"/>
      <c r="VRG48" s="223"/>
      <c r="VRH48" s="225"/>
      <c r="VRI48" s="220"/>
      <c r="VRJ48" s="221"/>
      <c r="VRK48" s="222"/>
      <c r="VRL48" s="222"/>
      <c r="VRM48" s="223"/>
      <c r="VRN48" s="223"/>
      <c r="VRO48" s="224"/>
      <c r="VRP48" s="223"/>
      <c r="VRQ48" s="223"/>
      <c r="VRR48" s="223"/>
      <c r="VRS48" s="223"/>
      <c r="VRT48" s="225"/>
      <c r="VRU48" s="220"/>
      <c r="VRV48" s="221"/>
      <c r="VRW48" s="222"/>
      <c r="VRX48" s="222"/>
      <c r="VRY48" s="223"/>
      <c r="VRZ48" s="223"/>
      <c r="VSA48" s="224"/>
      <c r="VSB48" s="223"/>
      <c r="VSC48" s="223"/>
      <c r="VSD48" s="223"/>
      <c r="VSE48" s="223"/>
      <c r="VSF48" s="225"/>
      <c r="VSG48" s="220"/>
      <c r="VSH48" s="221"/>
      <c r="VSI48" s="222"/>
      <c r="VSJ48" s="222"/>
      <c r="VSK48" s="223"/>
      <c r="VSL48" s="223"/>
      <c r="VSM48" s="224"/>
      <c r="VSN48" s="223"/>
      <c r="VSO48" s="223"/>
      <c r="VSP48" s="223"/>
      <c r="VSQ48" s="223"/>
      <c r="VSR48" s="225"/>
      <c r="VSS48" s="220"/>
      <c r="VST48" s="221"/>
      <c r="VSU48" s="222"/>
      <c r="VSV48" s="222"/>
      <c r="VSW48" s="223"/>
      <c r="VSX48" s="223"/>
      <c r="VSY48" s="224"/>
      <c r="VSZ48" s="223"/>
      <c r="VTA48" s="223"/>
      <c r="VTB48" s="223"/>
      <c r="VTC48" s="223"/>
      <c r="VTD48" s="225"/>
      <c r="VTE48" s="220"/>
      <c r="VTF48" s="221"/>
      <c r="VTG48" s="222"/>
      <c r="VTH48" s="222"/>
      <c r="VTI48" s="223"/>
      <c r="VTJ48" s="223"/>
      <c r="VTK48" s="224"/>
      <c r="VTL48" s="223"/>
      <c r="VTM48" s="223"/>
      <c r="VTN48" s="223"/>
      <c r="VTO48" s="223"/>
      <c r="VTP48" s="225"/>
      <c r="VTQ48" s="220"/>
      <c r="VTR48" s="221"/>
      <c r="VTS48" s="222"/>
      <c r="VTT48" s="222"/>
      <c r="VTU48" s="223"/>
      <c r="VTV48" s="223"/>
      <c r="VTW48" s="224"/>
      <c r="VTX48" s="223"/>
      <c r="VTY48" s="223"/>
      <c r="VTZ48" s="223"/>
      <c r="VUA48" s="223"/>
      <c r="VUB48" s="225"/>
      <c r="VUC48" s="220"/>
      <c r="VUD48" s="221"/>
      <c r="VUE48" s="222"/>
      <c r="VUF48" s="222"/>
      <c r="VUG48" s="223"/>
      <c r="VUH48" s="223"/>
      <c r="VUI48" s="224"/>
      <c r="VUJ48" s="223"/>
      <c r="VUK48" s="223"/>
      <c r="VUL48" s="223"/>
      <c r="VUM48" s="223"/>
      <c r="VUN48" s="225"/>
      <c r="VUO48" s="220"/>
      <c r="VUP48" s="221"/>
      <c r="VUQ48" s="222"/>
      <c r="VUR48" s="222"/>
      <c r="VUS48" s="223"/>
      <c r="VUT48" s="223"/>
      <c r="VUU48" s="224"/>
      <c r="VUV48" s="223"/>
      <c r="VUW48" s="223"/>
      <c r="VUX48" s="223"/>
      <c r="VUY48" s="223"/>
      <c r="VUZ48" s="225"/>
      <c r="VVA48" s="220"/>
      <c r="VVB48" s="221"/>
      <c r="VVC48" s="222"/>
      <c r="VVD48" s="222"/>
      <c r="VVE48" s="223"/>
      <c r="VVF48" s="223"/>
      <c r="VVG48" s="224"/>
      <c r="VVH48" s="223"/>
      <c r="VVI48" s="223"/>
      <c r="VVJ48" s="223"/>
      <c r="VVK48" s="223"/>
      <c r="VVL48" s="225"/>
      <c r="VVM48" s="220"/>
      <c r="VVN48" s="221"/>
      <c r="VVO48" s="222"/>
      <c r="VVP48" s="222"/>
      <c r="VVQ48" s="223"/>
      <c r="VVR48" s="223"/>
      <c r="VVS48" s="224"/>
      <c r="VVT48" s="223"/>
      <c r="VVU48" s="223"/>
      <c r="VVV48" s="223"/>
      <c r="VVW48" s="223"/>
      <c r="VVX48" s="225"/>
      <c r="VVY48" s="220"/>
      <c r="VVZ48" s="221"/>
      <c r="VWA48" s="222"/>
      <c r="VWB48" s="222"/>
      <c r="VWC48" s="223"/>
      <c r="VWD48" s="223"/>
      <c r="VWE48" s="224"/>
      <c r="VWF48" s="223"/>
      <c r="VWG48" s="223"/>
      <c r="VWH48" s="223"/>
      <c r="VWI48" s="223"/>
      <c r="VWJ48" s="225"/>
      <c r="VWK48" s="220"/>
      <c r="VWL48" s="221"/>
      <c r="VWM48" s="222"/>
      <c r="VWN48" s="222"/>
      <c r="VWO48" s="223"/>
      <c r="VWP48" s="223"/>
      <c r="VWQ48" s="224"/>
      <c r="VWR48" s="223"/>
      <c r="VWS48" s="223"/>
      <c r="VWT48" s="223"/>
      <c r="VWU48" s="223"/>
      <c r="VWV48" s="225"/>
      <c r="VWW48" s="220"/>
      <c r="VWX48" s="221"/>
      <c r="VWY48" s="222"/>
      <c r="VWZ48" s="222"/>
      <c r="VXA48" s="223"/>
      <c r="VXB48" s="223"/>
      <c r="VXC48" s="224"/>
      <c r="VXD48" s="223"/>
      <c r="VXE48" s="223"/>
      <c r="VXF48" s="223"/>
      <c r="VXG48" s="223"/>
      <c r="VXH48" s="225"/>
      <c r="VXI48" s="220"/>
      <c r="VXJ48" s="221"/>
      <c r="VXK48" s="222"/>
      <c r="VXL48" s="222"/>
      <c r="VXM48" s="223"/>
      <c r="VXN48" s="223"/>
      <c r="VXO48" s="224"/>
      <c r="VXP48" s="223"/>
      <c r="VXQ48" s="223"/>
      <c r="VXR48" s="223"/>
      <c r="VXS48" s="223"/>
      <c r="VXT48" s="225"/>
      <c r="VXU48" s="220"/>
      <c r="VXV48" s="221"/>
      <c r="VXW48" s="222"/>
      <c r="VXX48" s="222"/>
      <c r="VXY48" s="223"/>
      <c r="VXZ48" s="223"/>
      <c r="VYA48" s="224"/>
      <c r="VYB48" s="223"/>
      <c r="VYC48" s="223"/>
      <c r="VYD48" s="223"/>
      <c r="VYE48" s="223"/>
      <c r="VYF48" s="225"/>
      <c r="VYG48" s="220"/>
      <c r="VYH48" s="221"/>
      <c r="VYI48" s="222"/>
      <c r="VYJ48" s="222"/>
      <c r="VYK48" s="223"/>
      <c r="VYL48" s="223"/>
      <c r="VYM48" s="224"/>
      <c r="VYN48" s="223"/>
      <c r="VYO48" s="223"/>
      <c r="VYP48" s="223"/>
      <c r="VYQ48" s="223"/>
      <c r="VYR48" s="225"/>
      <c r="VYS48" s="220"/>
      <c r="VYT48" s="221"/>
      <c r="VYU48" s="222"/>
      <c r="VYV48" s="222"/>
      <c r="VYW48" s="223"/>
      <c r="VYX48" s="223"/>
      <c r="VYY48" s="224"/>
      <c r="VYZ48" s="223"/>
      <c r="VZA48" s="223"/>
      <c r="VZB48" s="223"/>
      <c r="VZC48" s="223"/>
      <c r="VZD48" s="225"/>
      <c r="VZE48" s="220"/>
      <c r="VZF48" s="221"/>
      <c r="VZG48" s="222"/>
      <c r="VZH48" s="222"/>
      <c r="VZI48" s="223"/>
      <c r="VZJ48" s="223"/>
      <c r="VZK48" s="224"/>
      <c r="VZL48" s="223"/>
      <c r="VZM48" s="223"/>
      <c r="VZN48" s="223"/>
      <c r="VZO48" s="223"/>
      <c r="VZP48" s="225"/>
      <c r="VZQ48" s="220"/>
      <c r="VZR48" s="221"/>
      <c r="VZS48" s="222"/>
      <c r="VZT48" s="222"/>
      <c r="VZU48" s="223"/>
      <c r="VZV48" s="223"/>
      <c r="VZW48" s="224"/>
      <c r="VZX48" s="223"/>
      <c r="VZY48" s="223"/>
      <c r="VZZ48" s="223"/>
      <c r="WAA48" s="223"/>
      <c r="WAB48" s="225"/>
      <c r="WAC48" s="220"/>
      <c r="WAD48" s="221"/>
      <c r="WAE48" s="222"/>
      <c r="WAF48" s="222"/>
      <c r="WAG48" s="223"/>
      <c r="WAH48" s="223"/>
      <c r="WAI48" s="224"/>
      <c r="WAJ48" s="223"/>
      <c r="WAK48" s="223"/>
      <c r="WAL48" s="223"/>
      <c r="WAM48" s="223"/>
      <c r="WAN48" s="225"/>
      <c r="WAO48" s="220"/>
      <c r="WAP48" s="221"/>
      <c r="WAQ48" s="222"/>
      <c r="WAR48" s="222"/>
      <c r="WAS48" s="223"/>
      <c r="WAT48" s="223"/>
      <c r="WAU48" s="224"/>
      <c r="WAV48" s="223"/>
      <c r="WAW48" s="223"/>
      <c r="WAX48" s="223"/>
      <c r="WAY48" s="223"/>
      <c r="WAZ48" s="225"/>
      <c r="WBA48" s="220"/>
      <c r="WBB48" s="221"/>
      <c r="WBC48" s="222"/>
      <c r="WBD48" s="222"/>
      <c r="WBE48" s="223"/>
      <c r="WBF48" s="223"/>
      <c r="WBG48" s="224"/>
      <c r="WBH48" s="223"/>
      <c r="WBI48" s="223"/>
      <c r="WBJ48" s="223"/>
      <c r="WBK48" s="223"/>
      <c r="WBL48" s="225"/>
      <c r="WBM48" s="220"/>
      <c r="WBN48" s="221"/>
      <c r="WBO48" s="222"/>
      <c r="WBP48" s="222"/>
      <c r="WBQ48" s="223"/>
      <c r="WBR48" s="223"/>
      <c r="WBS48" s="224"/>
      <c r="WBT48" s="223"/>
      <c r="WBU48" s="223"/>
      <c r="WBV48" s="223"/>
      <c r="WBW48" s="223"/>
      <c r="WBX48" s="225"/>
      <c r="WBY48" s="220"/>
      <c r="WBZ48" s="221"/>
      <c r="WCA48" s="222"/>
      <c r="WCB48" s="222"/>
      <c r="WCC48" s="223"/>
      <c r="WCD48" s="223"/>
      <c r="WCE48" s="224"/>
      <c r="WCF48" s="223"/>
      <c r="WCG48" s="223"/>
      <c r="WCH48" s="223"/>
      <c r="WCI48" s="223"/>
      <c r="WCJ48" s="225"/>
      <c r="WCK48" s="220"/>
      <c r="WCL48" s="221"/>
      <c r="WCM48" s="222"/>
      <c r="WCN48" s="222"/>
      <c r="WCO48" s="223"/>
      <c r="WCP48" s="223"/>
      <c r="WCQ48" s="224"/>
      <c r="WCR48" s="223"/>
      <c r="WCS48" s="223"/>
      <c r="WCT48" s="223"/>
      <c r="WCU48" s="223"/>
      <c r="WCV48" s="225"/>
      <c r="WCW48" s="220"/>
      <c r="WCX48" s="221"/>
      <c r="WCY48" s="222"/>
      <c r="WCZ48" s="222"/>
      <c r="WDA48" s="223"/>
      <c r="WDB48" s="223"/>
      <c r="WDC48" s="224"/>
      <c r="WDD48" s="223"/>
      <c r="WDE48" s="223"/>
      <c r="WDF48" s="223"/>
      <c r="WDG48" s="223"/>
      <c r="WDH48" s="225"/>
      <c r="WDI48" s="220"/>
      <c r="WDJ48" s="221"/>
      <c r="WDK48" s="222"/>
      <c r="WDL48" s="222"/>
      <c r="WDM48" s="223"/>
      <c r="WDN48" s="223"/>
      <c r="WDO48" s="224"/>
      <c r="WDP48" s="223"/>
      <c r="WDQ48" s="223"/>
      <c r="WDR48" s="223"/>
      <c r="WDS48" s="223"/>
      <c r="WDT48" s="225"/>
      <c r="WDU48" s="220"/>
      <c r="WDV48" s="221"/>
      <c r="WDW48" s="222"/>
      <c r="WDX48" s="222"/>
      <c r="WDY48" s="223"/>
      <c r="WDZ48" s="223"/>
      <c r="WEA48" s="224"/>
      <c r="WEB48" s="223"/>
      <c r="WEC48" s="223"/>
      <c r="WED48" s="223"/>
      <c r="WEE48" s="223"/>
      <c r="WEF48" s="225"/>
      <c r="WEG48" s="220"/>
      <c r="WEH48" s="221"/>
      <c r="WEI48" s="222"/>
      <c r="WEJ48" s="222"/>
      <c r="WEK48" s="223"/>
      <c r="WEL48" s="223"/>
      <c r="WEM48" s="224"/>
      <c r="WEN48" s="223"/>
      <c r="WEO48" s="223"/>
      <c r="WEP48" s="223"/>
      <c r="WEQ48" s="223"/>
      <c r="WER48" s="225"/>
      <c r="WES48" s="220"/>
      <c r="WET48" s="221"/>
      <c r="WEU48" s="222"/>
      <c r="WEV48" s="222"/>
      <c r="WEW48" s="223"/>
      <c r="WEX48" s="223"/>
      <c r="WEY48" s="224"/>
      <c r="WEZ48" s="223"/>
      <c r="WFA48" s="223"/>
      <c r="WFB48" s="223"/>
      <c r="WFC48" s="223"/>
      <c r="WFD48" s="225"/>
      <c r="WFE48" s="220"/>
      <c r="WFF48" s="221"/>
      <c r="WFG48" s="222"/>
      <c r="WFH48" s="222"/>
      <c r="WFI48" s="223"/>
      <c r="WFJ48" s="223"/>
      <c r="WFK48" s="224"/>
      <c r="WFL48" s="223"/>
      <c r="WFM48" s="223"/>
      <c r="WFN48" s="223"/>
      <c r="WFO48" s="223"/>
      <c r="WFP48" s="225"/>
      <c r="WFQ48" s="220"/>
      <c r="WFR48" s="221"/>
      <c r="WFS48" s="222"/>
      <c r="WFT48" s="222"/>
      <c r="WFU48" s="223"/>
      <c r="WFV48" s="223"/>
      <c r="WFW48" s="224"/>
      <c r="WFX48" s="223"/>
      <c r="WFY48" s="223"/>
      <c r="WFZ48" s="223"/>
      <c r="WGA48" s="223"/>
      <c r="WGB48" s="225"/>
      <c r="WGC48" s="220"/>
      <c r="WGD48" s="221"/>
      <c r="WGE48" s="222"/>
      <c r="WGF48" s="222"/>
      <c r="WGG48" s="223"/>
      <c r="WGH48" s="223"/>
      <c r="WGI48" s="224"/>
      <c r="WGJ48" s="223"/>
      <c r="WGK48" s="223"/>
      <c r="WGL48" s="223"/>
      <c r="WGM48" s="223"/>
      <c r="WGN48" s="225"/>
      <c r="WGO48" s="220"/>
      <c r="WGP48" s="221"/>
      <c r="WGQ48" s="222"/>
      <c r="WGR48" s="222"/>
      <c r="WGS48" s="223"/>
      <c r="WGT48" s="223"/>
      <c r="WGU48" s="224"/>
      <c r="WGV48" s="223"/>
      <c r="WGW48" s="223"/>
      <c r="WGX48" s="223"/>
      <c r="WGY48" s="223"/>
      <c r="WGZ48" s="225"/>
      <c r="WHA48" s="220"/>
      <c r="WHB48" s="221"/>
      <c r="WHC48" s="222"/>
      <c r="WHD48" s="222"/>
      <c r="WHE48" s="223"/>
      <c r="WHF48" s="223"/>
      <c r="WHG48" s="224"/>
      <c r="WHH48" s="223"/>
      <c r="WHI48" s="223"/>
      <c r="WHJ48" s="223"/>
      <c r="WHK48" s="223"/>
      <c r="WHL48" s="225"/>
      <c r="WHM48" s="220"/>
      <c r="WHN48" s="221"/>
      <c r="WHO48" s="222"/>
      <c r="WHP48" s="222"/>
      <c r="WHQ48" s="223"/>
      <c r="WHR48" s="223"/>
      <c r="WHS48" s="224"/>
      <c r="WHT48" s="223"/>
      <c r="WHU48" s="223"/>
      <c r="WHV48" s="223"/>
      <c r="WHW48" s="223"/>
      <c r="WHX48" s="225"/>
      <c r="WHY48" s="220"/>
      <c r="WHZ48" s="221"/>
      <c r="WIA48" s="222"/>
      <c r="WIB48" s="222"/>
      <c r="WIC48" s="223"/>
      <c r="WID48" s="223"/>
      <c r="WIE48" s="224"/>
      <c r="WIF48" s="223"/>
      <c r="WIG48" s="223"/>
      <c r="WIH48" s="223"/>
      <c r="WII48" s="223"/>
      <c r="WIJ48" s="225"/>
      <c r="WIK48" s="220"/>
      <c r="WIL48" s="221"/>
      <c r="WIM48" s="222"/>
      <c r="WIN48" s="222"/>
      <c r="WIO48" s="223"/>
      <c r="WIP48" s="223"/>
      <c r="WIQ48" s="224"/>
      <c r="WIR48" s="223"/>
      <c r="WIS48" s="223"/>
      <c r="WIT48" s="223"/>
      <c r="WIU48" s="223"/>
      <c r="WIV48" s="225"/>
      <c r="WIW48" s="220"/>
      <c r="WIX48" s="221"/>
      <c r="WIY48" s="222"/>
      <c r="WIZ48" s="222"/>
      <c r="WJA48" s="223"/>
      <c r="WJB48" s="223"/>
      <c r="WJC48" s="224"/>
      <c r="WJD48" s="223"/>
      <c r="WJE48" s="223"/>
      <c r="WJF48" s="223"/>
      <c r="WJG48" s="223"/>
      <c r="WJH48" s="225"/>
      <c r="WJI48" s="220"/>
      <c r="WJJ48" s="221"/>
      <c r="WJK48" s="222"/>
      <c r="WJL48" s="222"/>
      <c r="WJM48" s="223"/>
      <c r="WJN48" s="223"/>
      <c r="WJO48" s="224"/>
      <c r="WJP48" s="223"/>
      <c r="WJQ48" s="223"/>
      <c r="WJR48" s="223"/>
      <c r="WJS48" s="223"/>
      <c r="WJT48" s="225"/>
      <c r="WJU48" s="220"/>
      <c r="WJV48" s="221"/>
      <c r="WJW48" s="222"/>
      <c r="WJX48" s="222"/>
      <c r="WJY48" s="223"/>
      <c r="WJZ48" s="223"/>
      <c r="WKA48" s="224"/>
      <c r="WKB48" s="223"/>
      <c r="WKC48" s="223"/>
      <c r="WKD48" s="223"/>
      <c r="WKE48" s="223"/>
      <c r="WKF48" s="225"/>
      <c r="WKG48" s="220"/>
      <c r="WKH48" s="221"/>
      <c r="WKI48" s="222"/>
      <c r="WKJ48" s="222"/>
      <c r="WKK48" s="223"/>
      <c r="WKL48" s="223"/>
      <c r="WKM48" s="224"/>
      <c r="WKN48" s="223"/>
      <c r="WKO48" s="223"/>
      <c r="WKP48" s="223"/>
      <c r="WKQ48" s="223"/>
      <c r="WKR48" s="225"/>
      <c r="WKS48" s="220"/>
      <c r="WKT48" s="221"/>
      <c r="WKU48" s="222"/>
      <c r="WKV48" s="222"/>
      <c r="WKW48" s="223"/>
      <c r="WKX48" s="223"/>
      <c r="WKY48" s="224"/>
      <c r="WKZ48" s="223"/>
      <c r="WLA48" s="223"/>
      <c r="WLB48" s="223"/>
      <c r="WLC48" s="223"/>
      <c r="WLD48" s="225"/>
      <c r="WLE48" s="220"/>
      <c r="WLF48" s="221"/>
      <c r="WLG48" s="222"/>
      <c r="WLH48" s="222"/>
      <c r="WLI48" s="223"/>
      <c r="WLJ48" s="223"/>
      <c r="WLK48" s="224"/>
      <c r="WLL48" s="223"/>
      <c r="WLM48" s="223"/>
      <c r="WLN48" s="223"/>
      <c r="WLO48" s="223"/>
      <c r="WLP48" s="225"/>
      <c r="WLQ48" s="220"/>
      <c r="WLR48" s="221"/>
      <c r="WLS48" s="222"/>
      <c r="WLT48" s="222"/>
      <c r="WLU48" s="223"/>
      <c r="WLV48" s="223"/>
      <c r="WLW48" s="224"/>
      <c r="WLX48" s="223"/>
      <c r="WLY48" s="223"/>
      <c r="WLZ48" s="223"/>
      <c r="WMA48" s="223"/>
      <c r="WMB48" s="225"/>
      <c r="WMC48" s="220"/>
      <c r="WMD48" s="221"/>
      <c r="WME48" s="222"/>
      <c r="WMF48" s="222"/>
      <c r="WMG48" s="223"/>
      <c r="WMH48" s="223"/>
      <c r="WMI48" s="224"/>
      <c r="WMJ48" s="223"/>
      <c r="WMK48" s="223"/>
      <c r="WML48" s="223"/>
      <c r="WMM48" s="223"/>
      <c r="WMN48" s="225"/>
      <c r="WMO48" s="220"/>
      <c r="WMP48" s="221"/>
      <c r="WMQ48" s="222"/>
      <c r="WMR48" s="222"/>
      <c r="WMS48" s="223"/>
      <c r="WMT48" s="223"/>
      <c r="WMU48" s="224"/>
      <c r="WMV48" s="223"/>
      <c r="WMW48" s="223"/>
      <c r="WMX48" s="223"/>
      <c r="WMY48" s="223"/>
      <c r="WMZ48" s="225"/>
      <c r="WNA48" s="220"/>
      <c r="WNB48" s="221"/>
      <c r="WNC48" s="222"/>
      <c r="WND48" s="222"/>
      <c r="WNE48" s="223"/>
      <c r="WNF48" s="223"/>
      <c r="WNG48" s="224"/>
      <c r="WNH48" s="223"/>
      <c r="WNI48" s="223"/>
      <c r="WNJ48" s="223"/>
      <c r="WNK48" s="223"/>
      <c r="WNL48" s="225"/>
      <c r="WNM48" s="220"/>
      <c r="WNN48" s="221"/>
      <c r="WNO48" s="222"/>
      <c r="WNP48" s="222"/>
      <c r="WNQ48" s="223"/>
      <c r="WNR48" s="223"/>
      <c r="WNS48" s="224"/>
      <c r="WNT48" s="223"/>
      <c r="WNU48" s="223"/>
      <c r="WNV48" s="223"/>
      <c r="WNW48" s="223"/>
      <c r="WNX48" s="225"/>
      <c r="WNY48" s="220"/>
      <c r="WNZ48" s="221"/>
      <c r="WOA48" s="222"/>
      <c r="WOB48" s="222"/>
      <c r="WOC48" s="223"/>
      <c r="WOD48" s="223"/>
      <c r="WOE48" s="224"/>
      <c r="WOF48" s="223"/>
      <c r="WOG48" s="223"/>
      <c r="WOH48" s="223"/>
      <c r="WOI48" s="223"/>
      <c r="WOJ48" s="225"/>
      <c r="WOK48" s="220"/>
      <c r="WOL48" s="221"/>
      <c r="WOM48" s="222"/>
      <c r="WON48" s="222"/>
      <c r="WOO48" s="223"/>
      <c r="WOP48" s="223"/>
      <c r="WOQ48" s="224"/>
      <c r="WOR48" s="223"/>
      <c r="WOS48" s="223"/>
      <c r="WOT48" s="223"/>
      <c r="WOU48" s="223"/>
      <c r="WOV48" s="225"/>
      <c r="WOW48" s="220"/>
      <c r="WOX48" s="221"/>
      <c r="WOY48" s="222"/>
      <c r="WOZ48" s="222"/>
      <c r="WPA48" s="223"/>
      <c r="WPB48" s="223"/>
      <c r="WPC48" s="224"/>
      <c r="WPD48" s="223"/>
      <c r="WPE48" s="223"/>
      <c r="WPF48" s="223"/>
      <c r="WPG48" s="223"/>
      <c r="WPH48" s="225"/>
      <c r="WPI48" s="220"/>
      <c r="WPJ48" s="221"/>
      <c r="WPK48" s="222"/>
      <c r="WPL48" s="222"/>
      <c r="WPM48" s="223"/>
      <c r="WPN48" s="223"/>
      <c r="WPO48" s="224"/>
      <c r="WPP48" s="223"/>
      <c r="WPQ48" s="223"/>
      <c r="WPR48" s="223"/>
      <c r="WPS48" s="223"/>
      <c r="WPT48" s="225"/>
      <c r="WPU48" s="220"/>
      <c r="WPV48" s="221"/>
      <c r="WPW48" s="222"/>
      <c r="WPX48" s="222"/>
      <c r="WPY48" s="223"/>
      <c r="WPZ48" s="223"/>
      <c r="WQA48" s="224"/>
      <c r="WQB48" s="223"/>
      <c r="WQC48" s="223"/>
      <c r="WQD48" s="223"/>
      <c r="WQE48" s="223"/>
      <c r="WQF48" s="225"/>
      <c r="WQG48" s="220"/>
      <c r="WQH48" s="221"/>
      <c r="WQI48" s="222"/>
      <c r="WQJ48" s="222"/>
      <c r="WQK48" s="223"/>
      <c r="WQL48" s="223"/>
      <c r="WQM48" s="224"/>
      <c r="WQN48" s="223"/>
      <c r="WQO48" s="223"/>
      <c r="WQP48" s="223"/>
      <c r="WQQ48" s="223"/>
      <c r="WQR48" s="225"/>
      <c r="WQS48" s="220"/>
      <c r="WQT48" s="221"/>
      <c r="WQU48" s="222"/>
      <c r="WQV48" s="222"/>
      <c r="WQW48" s="223"/>
      <c r="WQX48" s="223"/>
      <c r="WQY48" s="224"/>
      <c r="WQZ48" s="223"/>
      <c r="WRA48" s="223"/>
      <c r="WRB48" s="223"/>
      <c r="WRC48" s="223"/>
      <c r="WRD48" s="225"/>
      <c r="WRE48" s="220"/>
      <c r="WRF48" s="221"/>
      <c r="WRG48" s="222"/>
      <c r="WRH48" s="222"/>
      <c r="WRI48" s="223"/>
      <c r="WRJ48" s="223"/>
      <c r="WRK48" s="224"/>
      <c r="WRL48" s="223"/>
      <c r="WRM48" s="223"/>
      <c r="WRN48" s="223"/>
      <c r="WRO48" s="223"/>
      <c r="WRP48" s="225"/>
      <c r="WRQ48" s="220"/>
      <c r="WRR48" s="221"/>
      <c r="WRS48" s="222"/>
      <c r="WRT48" s="222"/>
      <c r="WRU48" s="223"/>
      <c r="WRV48" s="223"/>
      <c r="WRW48" s="224"/>
      <c r="WRX48" s="223"/>
      <c r="WRY48" s="223"/>
      <c r="WRZ48" s="223"/>
      <c r="WSA48" s="223"/>
      <c r="WSB48" s="225"/>
      <c r="WSC48" s="220"/>
      <c r="WSD48" s="221"/>
      <c r="WSE48" s="222"/>
      <c r="WSF48" s="222"/>
      <c r="WSG48" s="223"/>
      <c r="WSH48" s="223"/>
      <c r="WSI48" s="224"/>
      <c r="WSJ48" s="223"/>
      <c r="WSK48" s="223"/>
      <c r="WSL48" s="223"/>
      <c r="WSM48" s="223"/>
      <c r="WSN48" s="225"/>
      <c r="WSO48" s="220"/>
      <c r="WSP48" s="221"/>
      <c r="WSQ48" s="222"/>
      <c r="WSR48" s="222"/>
      <c r="WSS48" s="223"/>
      <c r="WST48" s="223"/>
      <c r="WSU48" s="224"/>
      <c r="WSV48" s="223"/>
      <c r="WSW48" s="223"/>
      <c r="WSX48" s="223"/>
      <c r="WSY48" s="223"/>
      <c r="WSZ48" s="225"/>
      <c r="WTA48" s="220"/>
      <c r="WTB48" s="221"/>
      <c r="WTC48" s="222"/>
      <c r="WTD48" s="222"/>
      <c r="WTE48" s="223"/>
      <c r="WTF48" s="223"/>
      <c r="WTG48" s="224"/>
      <c r="WTH48" s="223"/>
      <c r="WTI48" s="223"/>
      <c r="WTJ48" s="223"/>
      <c r="WTK48" s="223"/>
      <c r="WTL48" s="225"/>
      <c r="WTM48" s="220"/>
      <c r="WTN48" s="221"/>
      <c r="WTO48" s="222"/>
      <c r="WTP48" s="222"/>
      <c r="WTQ48" s="223"/>
      <c r="WTR48" s="223"/>
      <c r="WTS48" s="224"/>
      <c r="WTT48" s="223"/>
      <c r="WTU48" s="223"/>
      <c r="WTV48" s="223"/>
      <c r="WTW48" s="223"/>
      <c r="WTX48" s="225"/>
      <c r="WTY48" s="220"/>
      <c r="WTZ48" s="221"/>
      <c r="WUA48" s="222"/>
      <c r="WUB48" s="222"/>
      <c r="WUC48" s="223"/>
      <c r="WUD48" s="223"/>
      <c r="WUE48" s="224"/>
      <c r="WUF48" s="223"/>
      <c r="WUG48" s="223"/>
      <c r="WUH48" s="223"/>
      <c r="WUI48" s="223"/>
      <c r="WUJ48" s="225"/>
      <c r="WUK48" s="220"/>
      <c r="WUL48" s="221"/>
      <c r="WUM48" s="222"/>
      <c r="WUN48" s="222"/>
      <c r="WUO48" s="223"/>
      <c r="WUP48" s="223"/>
      <c r="WUQ48" s="224"/>
      <c r="WUR48" s="223"/>
      <c r="WUS48" s="223"/>
      <c r="WUT48" s="223"/>
      <c r="WUU48" s="223"/>
      <c r="WUV48" s="225"/>
      <c r="WUW48" s="220"/>
      <c r="WUX48" s="221"/>
      <c r="WUY48" s="222"/>
      <c r="WUZ48" s="222"/>
      <c r="WVA48" s="223"/>
      <c r="WVB48" s="223"/>
      <c r="WVC48" s="224"/>
      <c r="WVD48" s="223"/>
      <c r="WVE48" s="223"/>
      <c r="WVF48" s="223"/>
      <c r="WVG48" s="223"/>
      <c r="WVH48" s="225"/>
      <c r="WVI48" s="220"/>
      <c r="WVJ48" s="221"/>
      <c r="WVK48" s="222"/>
      <c r="WVL48" s="222"/>
      <c r="WVM48" s="223"/>
      <c r="WVN48" s="223"/>
      <c r="WVO48" s="224"/>
      <c r="WVP48" s="223"/>
      <c r="WVQ48" s="223"/>
      <c r="WVR48" s="223"/>
      <c r="WVS48" s="223"/>
      <c r="WVT48" s="225"/>
      <c r="WVU48" s="220"/>
      <c r="WVV48" s="221"/>
      <c r="WVW48" s="222"/>
      <c r="WVX48" s="222"/>
      <c r="WVY48" s="223"/>
      <c r="WVZ48" s="223"/>
      <c r="WWA48" s="224"/>
      <c r="WWB48" s="223"/>
      <c r="WWC48" s="223"/>
      <c r="WWD48" s="223"/>
      <c r="WWE48" s="223"/>
      <c r="WWF48" s="225"/>
      <c r="WWG48" s="220"/>
      <c r="WWH48" s="221"/>
      <c r="WWI48" s="222"/>
      <c r="WWJ48" s="222"/>
      <c r="WWK48" s="223"/>
      <c r="WWL48" s="223"/>
      <c r="WWM48" s="224"/>
      <c r="WWN48" s="223"/>
      <c r="WWO48" s="223"/>
      <c r="WWP48" s="223"/>
      <c r="WWQ48" s="223"/>
      <c r="WWR48" s="225"/>
      <c r="WWS48" s="220"/>
      <c r="WWT48" s="221"/>
      <c r="WWU48" s="222"/>
      <c r="WWV48" s="222"/>
      <c r="WWW48" s="223"/>
      <c r="WWX48" s="223"/>
      <c r="WWY48" s="224"/>
      <c r="WWZ48" s="223"/>
      <c r="WXA48" s="223"/>
      <c r="WXB48" s="223"/>
      <c r="WXC48" s="223"/>
      <c r="WXD48" s="225"/>
      <c r="WXE48" s="220"/>
      <c r="WXF48" s="221"/>
      <c r="WXG48" s="222"/>
      <c r="WXH48" s="222"/>
      <c r="WXI48" s="223"/>
      <c r="WXJ48" s="223"/>
      <c r="WXK48" s="224"/>
      <c r="WXL48" s="223"/>
      <c r="WXM48" s="223"/>
      <c r="WXN48" s="223"/>
      <c r="WXO48" s="223"/>
      <c r="WXP48" s="225"/>
      <c r="WXQ48" s="220"/>
      <c r="WXR48" s="221"/>
      <c r="WXS48" s="222"/>
      <c r="WXT48" s="222"/>
      <c r="WXU48" s="223"/>
      <c r="WXV48" s="223"/>
      <c r="WXW48" s="224"/>
      <c r="WXX48" s="223"/>
      <c r="WXY48" s="223"/>
      <c r="WXZ48" s="223"/>
      <c r="WYA48" s="223"/>
      <c r="WYB48" s="225"/>
      <c r="WYC48" s="220"/>
      <c r="WYD48" s="221"/>
      <c r="WYE48" s="222"/>
      <c r="WYF48" s="222"/>
      <c r="WYG48" s="223"/>
      <c r="WYH48" s="223"/>
      <c r="WYI48" s="224"/>
      <c r="WYJ48" s="223"/>
      <c r="WYK48" s="223"/>
      <c r="WYL48" s="223"/>
      <c r="WYM48" s="223"/>
      <c r="WYN48" s="225"/>
      <c r="WYO48" s="220"/>
      <c r="WYP48" s="221"/>
      <c r="WYQ48" s="222"/>
      <c r="WYR48" s="222"/>
      <c r="WYS48" s="223"/>
      <c r="WYT48" s="223"/>
      <c r="WYU48" s="224"/>
      <c r="WYV48" s="223"/>
      <c r="WYW48" s="223"/>
      <c r="WYX48" s="223"/>
      <c r="WYY48" s="223"/>
      <c r="WYZ48" s="225"/>
      <c r="WZA48" s="220"/>
      <c r="WZB48" s="221"/>
      <c r="WZC48" s="222"/>
      <c r="WZD48" s="222"/>
      <c r="WZE48" s="223"/>
      <c r="WZF48" s="223"/>
      <c r="WZG48" s="224"/>
      <c r="WZH48" s="223"/>
      <c r="WZI48" s="223"/>
      <c r="WZJ48" s="223"/>
      <c r="WZK48" s="223"/>
      <c r="WZL48" s="225"/>
      <c r="WZM48" s="220"/>
      <c r="WZN48" s="221"/>
      <c r="WZO48" s="222"/>
      <c r="WZP48" s="222"/>
      <c r="WZQ48" s="223"/>
      <c r="WZR48" s="223"/>
      <c r="WZS48" s="224"/>
      <c r="WZT48" s="223"/>
      <c r="WZU48" s="223"/>
      <c r="WZV48" s="223"/>
      <c r="WZW48" s="223"/>
      <c r="WZX48" s="225"/>
      <c r="WZY48" s="220"/>
      <c r="WZZ48" s="221"/>
      <c r="XAA48" s="222"/>
      <c r="XAB48" s="222"/>
      <c r="XAC48" s="223"/>
      <c r="XAD48" s="223"/>
      <c r="XAE48" s="224"/>
      <c r="XAF48" s="223"/>
      <c r="XAG48" s="223"/>
      <c r="XAH48" s="223"/>
      <c r="XAI48" s="223"/>
      <c r="XAJ48" s="225"/>
      <c r="XAK48" s="220"/>
      <c r="XAL48" s="221"/>
      <c r="XAM48" s="222"/>
      <c r="XAN48" s="222"/>
      <c r="XAO48" s="223"/>
      <c r="XAP48" s="223"/>
      <c r="XAQ48" s="224"/>
      <c r="XAR48" s="223"/>
      <c r="XAS48" s="223"/>
      <c r="XAT48" s="223"/>
      <c r="XAU48" s="223"/>
      <c r="XAV48" s="225"/>
      <c r="XAW48" s="220"/>
      <c r="XAX48" s="221"/>
      <c r="XAY48" s="222"/>
      <c r="XAZ48" s="222"/>
      <c r="XBA48" s="223"/>
      <c r="XBB48" s="223"/>
      <c r="XBC48" s="224"/>
      <c r="XBD48" s="223"/>
      <c r="XBE48" s="223"/>
      <c r="XBF48" s="223"/>
      <c r="XBG48" s="223"/>
      <c r="XBH48" s="225"/>
      <c r="XBI48" s="220"/>
      <c r="XBJ48" s="221"/>
      <c r="XBK48" s="222"/>
      <c r="XBL48" s="222"/>
      <c r="XBM48" s="223"/>
      <c r="XBN48" s="223"/>
      <c r="XBO48" s="224"/>
      <c r="XBP48" s="223"/>
      <c r="XBQ48" s="223"/>
      <c r="XBR48" s="223"/>
      <c r="XBS48" s="223"/>
      <c r="XBT48" s="225"/>
      <c r="XBU48" s="220"/>
      <c r="XBV48" s="221"/>
      <c r="XBW48" s="222"/>
      <c r="XBX48" s="222"/>
      <c r="XBY48" s="223"/>
      <c r="XBZ48" s="223"/>
      <c r="XCA48" s="224"/>
      <c r="XCB48" s="223"/>
      <c r="XCC48" s="223"/>
      <c r="XCD48" s="223"/>
      <c r="XCE48" s="223"/>
      <c r="XCF48" s="225"/>
      <c r="XCG48" s="220"/>
      <c r="XCH48" s="221"/>
      <c r="XCI48" s="222"/>
      <c r="XCJ48" s="222"/>
      <c r="XCK48" s="223"/>
      <c r="XCL48" s="223"/>
      <c r="XCM48" s="224"/>
      <c r="XCN48" s="223"/>
      <c r="XCO48" s="223"/>
      <c r="XCP48" s="223"/>
      <c r="XCQ48" s="223"/>
      <c r="XCR48" s="225"/>
      <c r="XCS48" s="220"/>
      <c r="XCT48" s="221"/>
      <c r="XCU48" s="222"/>
      <c r="XCV48" s="222"/>
      <c r="XCW48" s="223"/>
      <c r="XCX48" s="223"/>
      <c r="XCY48" s="224"/>
      <c r="XCZ48" s="223"/>
      <c r="XDA48" s="223"/>
      <c r="XDB48" s="223"/>
      <c r="XDC48" s="223"/>
      <c r="XDD48" s="225"/>
      <c r="XDE48" s="220"/>
      <c r="XDF48" s="221"/>
      <c r="XDG48" s="222"/>
      <c r="XDH48" s="222"/>
      <c r="XDI48" s="223"/>
      <c r="XDJ48" s="223"/>
      <c r="XDK48" s="224"/>
      <c r="XDL48" s="223"/>
      <c r="XDM48" s="223"/>
      <c r="XDN48" s="223"/>
      <c r="XDO48" s="223"/>
      <c r="XDP48" s="225"/>
      <c r="XDQ48" s="220"/>
      <c r="XDR48" s="221"/>
      <c r="XDS48" s="222"/>
      <c r="XDT48" s="222"/>
      <c r="XDU48" s="223"/>
      <c r="XDV48" s="223"/>
      <c r="XDW48" s="224"/>
      <c r="XDX48" s="223"/>
      <c r="XDY48" s="223"/>
      <c r="XDZ48" s="223"/>
      <c r="XEA48" s="223"/>
      <c r="XEB48" s="225"/>
      <c r="XEC48" s="220"/>
      <c r="XED48" s="221"/>
      <c r="XEE48" s="222"/>
      <c r="XEF48" s="222"/>
      <c r="XEG48" s="223"/>
      <c r="XEH48" s="223"/>
      <c r="XEI48" s="224"/>
      <c r="XEJ48" s="223"/>
      <c r="XEK48" s="223"/>
      <c r="XEL48" s="223"/>
      <c r="XEM48" s="223"/>
      <c r="XEN48" s="225"/>
      <c r="XEO48" s="220"/>
      <c r="XEP48" s="221"/>
      <c r="XEQ48" s="222"/>
      <c r="XER48" s="222"/>
      <c r="XES48" s="223"/>
      <c r="XET48" s="223"/>
      <c r="XEU48" s="224"/>
      <c r="XEV48" s="223"/>
      <c r="XEW48" s="223"/>
      <c r="XEX48" s="223"/>
      <c r="XEY48" s="223"/>
      <c r="XEZ48" s="225"/>
      <c r="XFA48" s="220"/>
      <c r="XFB48" s="221"/>
      <c r="XFC48" s="222"/>
      <c r="XFD48" s="222"/>
    </row>
    <row r="49" spans="1:12" s="158" customFormat="1" ht="27.75" customHeight="1" x14ac:dyDescent="0.3">
      <c r="A49" s="194">
        <v>6</v>
      </c>
      <c r="B49" s="137" t="s">
        <v>345</v>
      </c>
      <c r="C49" s="134" t="s">
        <v>33</v>
      </c>
      <c r="D49" s="161"/>
      <c r="E49" s="162">
        <v>35.200000000000003</v>
      </c>
      <c r="F49" s="163"/>
      <c r="G49" s="163"/>
      <c r="H49" s="163"/>
      <c r="I49" s="163"/>
      <c r="J49" s="163"/>
      <c r="K49" s="163"/>
      <c r="L49" s="164"/>
    </row>
    <row r="50" spans="1:12" s="158" customFormat="1" ht="13.8" x14ac:dyDescent="0.3">
      <c r="A50" s="78"/>
      <c r="B50" s="24" t="s">
        <v>8</v>
      </c>
      <c r="C50" s="79" t="s">
        <v>33</v>
      </c>
      <c r="D50" s="159">
        <v>1</v>
      </c>
      <c r="E50" s="159"/>
      <c r="F50" s="165"/>
      <c r="G50" s="165"/>
      <c r="H50" s="165"/>
      <c r="I50" s="165"/>
      <c r="J50" s="165"/>
      <c r="K50" s="165"/>
      <c r="L50" s="160"/>
    </row>
    <row r="51" spans="1:12" s="158" customFormat="1" ht="13.8" x14ac:dyDescent="0.3">
      <c r="A51" s="78"/>
      <c r="B51" s="24" t="s">
        <v>10</v>
      </c>
      <c r="C51" s="79" t="s">
        <v>15</v>
      </c>
      <c r="D51" s="284">
        <v>1.7000000000000001E-2</v>
      </c>
      <c r="E51" s="159"/>
      <c r="F51" s="165"/>
      <c r="G51" s="165"/>
      <c r="H51" s="165"/>
      <c r="I51" s="165"/>
      <c r="J51" s="58"/>
      <c r="K51" s="165"/>
      <c r="L51" s="160"/>
    </row>
    <row r="52" spans="1:12" s="158" customFormat="1" ht="13.8" x14ac:dyDescent="0.3">
      <c r="A52" s="78"/>
      <c r="B52" s="24" t="s">
        <v>12</v>
      </c>
      <c r="C52" s="79"/>
      <c r="D52" s="159"/>
      <c r="E52" s="159"/>
      <c r="F52" s="165"/>
      <c r="G52" s="165"/>
      <c r="H52" s="165"/>
      <c r="I52" s="165"/>
      <c r="J52" s="165"/>
      <c r="K52" s="165"/>
      <c r="L52" s="160"/>
    </row>
    <row r="53" spans="1:12" s="158" customFormat="1" ht="27.6" x14ac:dyDescent="0.3">
      <c r="A53" s="78"/>
      <c r="B53" s="24" t="s">
        <v>226</v>
      </c>
      <c r="C53" s="79" t="s">
        <v>33</v>
      </c>
      <c r="D53" s="159">
        <v>1.1100000000000001</v>
      </c>
      <c r="E53" s="159"/>
      <c r="F53" s="166"/>
      <c r="G53" s="166"/>
      <c r="H53" s="165"/>
      <c r="I53" s="165"/>
      <c r="J53" s="165"/>
      <c r="K53" s="165"/>
      <c r="L53" s="160"/>
    </row>
    <row r="54" spans="1:12" s="158" customFormat="1" thickBot="1" x14ac:dyDescent="0.35">
      <c r="A54" s="149"/>
      <c r="B54" s="150" t="s">
        <v>14</v>
      </c>
      <c r="C54" s="151" t="s">
        <v>15</v>
      </c>
      <c r="D54" s="199">
        <v>0.22</v>
      </c>
      <c r="E54" s="199"/>
      <c r="F54" s="436"/>
      <c r="G54" s="200"/>
      <c r="H54" s="201"/>
      <c r="I54" s="201"/>
      <c r="J54" s="201"/>
      <c r="K54" s="201"/>
      <c r="L54" s="202"/>
    </row>
    <row r="55" spans="1:12" s="69" customFormat="1" ht="13.95" customHeight="1" thickBot="1" x14ac:dyDescent="0.35">
      <c r="A55" s="640"/>
      <c r="B55" s="641" t="s">
        <v>402</v>
      </c>
      <c r="C55" s="175"/>
      <c r="D55" s="175"/>
      <c r="E55" s="176"/>
      <c r="F55" s="434"/>
      <c r="G55" s="177"/>
      <c r="H55" s="176"/>
      <c r="I55" s="176"/>
      <c r="J55" s="176"/>
      <c r="K55" s="176"/>
      <c r="L55" s="178"/>
    </row>
    <row r="56" spans="1:12" s="69" customFormat="1" ht="32.25" customHeight="1" x14ac:dyDescent="0.3">
      <c r="A56" s="136">
        <v>7</v>
      </c>
      <c r="B56" s="137" t="s">
        <v>403</v>
      </c>
      <c r="C56" s="134" t="s">
        <v>33</v>
      </c>
      <c r="D56" s="134"/>
      <c r="E56" s="138">
        <v>8.1</v>
      </c>
      <c r="F56" s="312"/>
      <c r="G56" s="138"/>
      <c r="H56" s="138"/>
      <c r="I56" s="138"/>
      <c r="J56" s="138"/>
      <c r="K56" s="138"/>
      <c r="L56" s="139"/>
    </row>
    <row r="57" spans="1:12" s="69" customFormat="1" ht="12.75" customHeight="1" x14ac:dyDescent="0.3">
      <c r="A57" s="78"/>
      <c r="B57" s="24" t="s">
        <v>8</v>
      </c>
      <c r="C57" s="79" t="s">
        <v>33</v>
      </c>
      <c r="D57" s="79">
        <v>1</v>
      </c>
      <c r="E57" s="58"/>
      <c r="F57" s="271"/>
      <c r="G57" s="56"/>
      <c r="H57" s="58"/>
      <c r="I57" s="58"/>
      <c r="J57" s="58"/>
      <c r="K57" s="58"/>
      <c r="L57" s="57"/>
    </row>
    <row r="58" spans="1:12" s="69" customFormat="1" ht="12.75" customHeight="1" x14ac:dyDescent="0.3">
      <c r="A58" s="78"/>
      <c r="B58" s="24" t="s">
        <v>12</v>
      </c>
      <c r="C58" s="79"/>
      <c r="D58" s="79"/>
      <c r="E58" s="58"/>
      <c r="F58" s="271"/>
      <c r="G58" s="56"/>
      <c r="H58" s="58"/>
      <c r="I58" s="58"/>
      <c r="J58" s="58"/>
      <c r="K58" s="58"/>
      <c r="L58" s="57"/>
    </row>
    <row r="59" spans="1:12" s="69" customFormat="1" ht="27.6" x14ac:dyDescent="0.3">
      <c r="A59" s="78"/>
      <c r="B59" s="24" t="s">
        <v>404</v>
      </c>
      <c r="C59" s="79" t="s">
        <v>33</v>
      </c>
      <c r="D59" s="79">
        <v>1.05</v>
      </c>
      <c r="E59" s="58"/>
      <c r="F59" s="271"/>
      <c r="G59" s="56"/>
      <c r="H59" s="58"/>
      <c r="I59" s="58"/>
      <c r="J59" s="58"/>
      <c r="K59" s="58"/>
      <c r="L59" s="57"/>
    </row>
    <row r="60" spans="1:12" s="69" customFormat="1" ht="13.8" x14ac:dyDescent="0.3">
      <c r="A60" s="78"/>
      <c r="B60" s="24" t="s">
        <v>405</v>
      </c>
      <c r="C60" s="79" t="s">
        <v>7</v>
      </c>
      <c r="D60" s="79">
        <v>0.85</v>
      </c>
      <c r="E60" s="58"/>
      <c r="F60" s="271"/>
      <c r="G60" s="56"/>
      <c r="H60" s="58"/>
      <c r="I60" s="58"/>
      <c r="J60" s="58"/>
      <c r="K60" s="58"/>
      <c r="L60" s="57"/>
    </row>
    <row r="61" spans="1:12" s="158" customFormat="1" ht="13.8" x14ac:dyDescent="0.3">
      <c r="A61" s="296"/>
      <c r="B61" s="24" t="s">
        <v>406</v>
      </c>
      <c r="C61" s="79" t="s">
        <v>7</v>
      </c>
      <c r="D61" s="79">
        <v>1.65</v>
      </c>
      <c r="E61" s="58"/>
      <c r="F61" s="271"/>
      <c r="G61" s="56"/>
      <c r="H61" s="58"/>
      <c r="I61" s="165"/>
      <c r="J61" s="165"/>
      <c r="K61" s="165"/>
      <c r="L61" s="160"/>
    </row>
    <row r="62" spans="1:12" s="158" customFormat="1" ht="13.8" x14ac:dyDescent="0.3">
      <c r="A62" s="296"/>
      <c r="B62" s="24" t="s">
        <v>407</v>
      </c>
      <c r="C62" s="79" t="s">
        <v>7</v>
      </c>
      <c r="D62" s="79">
        <v>0.85</v>
      </c>
      <c r="E62" s="58"/>
      <c r="F62" s="271"/>
      <c r="G62" s="56"/>
      <c r="H62" s="58"/>
      <c r="I62" s="165"/>
      <c r="J62" s="165"/>
      <c r="K62" s="165"/>
      <c r="L62" s="160"/>
    </row>
    <row r="63" spans="1:12" x14ac:dyDescent="0.3">
      <c r="A63" s="78"/>
      <c r="B63" s="24" t="s">
        <v>253</v>
      </c>
      <c r="C63" s="79" t="s">
        <v>9</v>
      </c>
      <c r="D63" s="79">
        <v>0.85</v>
      </c>
      <c r="E63" s="58"/>
      <c r="F63" s="271"/>
      <c r="G63" s="56"/>
      <c r="H63" s="58"/>
      <c r="I63" s="58"/>
      <c r="J63" s="58"/>
      <c r="K63" s="58"/>
      <c r="L63" s="57"/>
    </row>
    <row r="64" spans="1:12" x14ac:dyDescent="0.3">
      <c r="A64" s="78"/>
      <c r="B64" s="24" t="s">
        <v>254</v>
      </c>
      <c r="C64" s="79" t="s">
        <v>9</v>
      </c>
      <c r="D64" s="79">
        <v>0.85</v>
      </c>
      <c r="E64" s="58"/>
      <c r="F64" s="271"/>
      <c r="G64" s="56"/>
      <c r="H64" s="58"/>
      <c r="I64" s="58"/>
      <c r="J64" s="58"/>
      <c r="K64" s="58"/>
      <c r="L64" s="57"/>
    </row>
    <row r="65" spans="1:12" x14ac:dyDescent="0.3">
      <c r="A65" s="78"/>
      <c r="B65" s="24" t="s">
        <v>255</v>
      </c>
      <c r="C65" s="79" t="s">
        <v>28</v>
      </c>
      <c r="D65" s="79">
        <v>3.8</v>
      </c>
      <c r="E65" s="58"/>
      <c r="F65" s="271"/>
      <c r="G65" s="56"/>
      <c r="H65" s="58"/>
      <c r="I65" s="58"/>
      <c r="J65" s="58"/>
      <c r="K65" s="58"/>
      <c r="L65" s="57"/>
    </row>
    <row r="66" spans="1:12" ht="15" thickBot="1" x14ac:dyDescent="0.35">
      <c r="A66" s="140"/>
      <c r="B66" s="98" t="s">
        <v>84</v>
      </c>
      <c r="C66" s="141" t="s">
        <v>7</v>
      </c>
      <c r="D66" s="141">
        <v>0.6</v>
      </c>
      <c r="E66" s="142"/>
      <c r="F66" s="311"/>
      <c r="G66" s="143"/>
      <c r="H66" s="142"/>
      <c r="I66" s="142"/>
      <c r="J66" s="142"/>
      <c r="K66" s="142"/>
      <c r="L66" s="144"/>
    </row>
    <row r="67" spans="1:12" ht="13.95" customHeight="1" thickBot="1" x14ac:dyDescent="0.35">
      <c r="A67" s="642"/>
      <c r="B67" s="643" t="s">
        <v>6</v>
      </c>
      <c r="C67" s="643"/>
      <c r="D67" s="643"/>
      <c r="E67" s="643"/>
      <c r="F67" s="643"/>
      <c r="G67" s="644">
        <f>SUM(G13:G66)</f>
        <v>0</v>
      </c>
      <c r="H67" s="644"/>
      <c r="I67" s="644">
        <f>SUM(I13:I66)</f>
        <v>0</v>
      </c>
      <c r="J67" s="644"/>
      <c r="K67" s="644">
        <f>SUM(K13:K66)</f>
        <v>0</v>
      </c>
      <c r="L67" s="644">
        <f>SUM(L13:L66)</f>
        <v>0</v>
      </c>
    </row>
    <row r="68" spans="1:12" x14ac:dyDescent="0.3">
      <c r="A68" s="256"/>
      <c r="B68" s="257" t="s">
        <v>128</v>
      </c>
      <c r="C68" s="258"/>
      <c r="D68" s="257"/>
      <c r="E68" s="257"/>
      <c r="F68" s="257"/>
      <c r="G68" s="257"/>
      <c r="H68" s="257"/>
      <c r="I68" s="257"/>
      <c r="J68" s="257"/>
      <c r="K68" s="257"/>
      <c r="L68" s="266">
        <f>L67*C68</f>
        <v>0</v>
      </c>
    </row>
    <row r="69" spans="1:12" x14ac:dyDescent="0.3">
      <c r="A69" s="259"/>
      <c r="B69" s="219" t="s">
        <v>6</v>
      </c>
      <c r="C69" s="60"/>
      <c r="D69" s="219"/>
      <c r="E69" s="219"/>
      <c r="F69" s="219"/>
      <c r="G69" s="219"/>
      <c r="H69" s="219"/>
      <c r="I69" s="219"/>
      <c r="J69" s="219"/>
      <c r="K69" s="219"/>
      <c r="L69" s="267">
        <f>L68+L67</f>
        <v>0</v>
      </c>
    </row>
    <row r="70" spans="1:12" x14ac:dyDescent="0.3">
      <c r="A70" s="259"/>
      <c r="B70" s="219" t="s">
        <v>154</v>
      </c>
      <c r="C70" s="18"/>
      <c r="D70" s="219"/>
      <c r="E70" s="219"/>
      <c r="F70" s="219"/>
      <c r="G70" s="219"/>
      <c r="H70" s="219"/>
      <c r="I70" s="219"/>
      <c r="J70" s="219"/>
      <c r="K70" s="219"/>
      <c r="L70" s="267">
        <f>L69*C70</f>
        <v>0</v>
      </c>
    </row>
    <row r="71" spans="1:12" x14ac:dyDescent="0.3">
      <c r="A71" s="259"/>
      <c r="B71" s="219" t="s">
        <v>6</v>
      </c>
      <c r="C71" s="18"/>
      <c r="D71" s="219"/>
      <c r="E71" s="219"/>
      <c r="F71" s="219"/>
      <c r="G71" s="219"/>
      <c r="H71" s="219"/>
      <c r="I71" s="219"/>
      <c r="J71" s="219"/>
      <c r="K71" s="219"/>
      <c r="L71" s="267">
        <f>L70+L69</f>
        <v>0</v>
      </c>
    </row>
    <row r="72" spans="1:12" x14ac:dyDescent="0.3">
      <c r="A72" s="259"/>
      <c r="B72" s="219" t="s">
        <v>17</v>
      </c>
      <c r="C72" s="18"/>
      <c r="D72" s="219"/>
      <c r="E72" s="219"/>
      <c r="F72" s="219"/>
      <c r="G72" s="219"/>
      <c r="H72" s="219"/>
      <c r="I72" s="219"/>
      <c r="J72" s="219"/>
      <c r="K72" s="219"/>
      <c r="L72" s="267">
        <f>C72*L71</f>
        <v>0</v>
      </c>
    </row>
    <row r="73" spans="1:12" x14ac:dyDescent="0.3">
      <c r="A73" s="259"/>
      <c r="B73" s="219" t="s">
        <v>6</v>
      </c>
      <c r="C73" s="18"/>
      <c r="D73" s="219"/>
      <c r="E73" s="219"/>
      <c r="F73" s="219"/>
      <c r="G73" s="219"/>
      <c r="H73" s="219"/>
      <c r="I73" s="219"/>
      <c r="J73" s="219"/>
      <c r="K73" s="219"/>
      <c r="L73" s="267">
        <f>L72+L71</f>
        <v>0</v>
      </c>
    </row>
    <row r="74" spans="1:12" x14ac:dyDescent="0.3">
      <c r="A74" s="259"/>
      <c r="B74" s="219" t="s">
        <v>18</v>
      </c>
      <c r="C74" s="18"/>
      <c r="D74" s="219"/>
      <c r="E74" s="219"/>
      <c r="F74" s="219"/>
      <c r="G74" s="219"/>
      <c r="H74" s="219"/>
      <c r="I74" s="219"/>
      <c r="J74" s="219"/>
      <c r="K74" s="219"/>
      <c r="L74" s="267">
        <f>L73*C74</f>
        <v>0</v>
      </c>
    </row>
    <row r="75" spans="1:12" x14ac:dyDescent="0.3">
      <c r="A75" s="259"/>
      <c r="B75" s="219" t="s">
        <v>6</v>
      </c>
      <c r="C75" s="29"/>
      <c r="D75" s="219"/>
      <c r="E75" s="219"/>
      <c r="F75" s="219"/>
      <c r="G75" s="219"/>
      <c r="H75" s="219"/>
      <c r="I75" s="219"/>
      <c r="J75" s="219"/>
      <c r="K75" s="219"/>
      <c r="L75" s="544">
        <f>L74+L73</f>
        <v>0</v>
      </c>
    </row>
    <row r="76" spans="1:12" ht="15" thickBot="1" x14ac:dyDescent="0.35">
      <c r="A76" s="260"/>
      <c r="B76" s="261" t="s">
        <v>19</v>
      </c>
      <c r="C76" s="262">
        <v>0.18</v>
      </c>
      <c r="D76" s="261"/>
      <c r="E76" s="261"/>
      <c r="F76" s="261"/>
      <c r="G76" s="261"/>
      <c r="H76" s="261"/>
      <c r="I76" s="261"/>
      <c r="J76" s="261"/>
      <c r="K76" s="261"/>
      <c r="L76" s="546">
        <f>L75*C76</f>
        <v>0</v>
      </c>
    </row>
    <row r="77" spans="1:12" ht="15" thickBot="1" x14ac:dyDescent="0.35">
      <c r="A77" s="406"/>
      <c r="B77" s="407" t="s">
        <v>6</v>
      </c>
      <c r="C77" s="407"/>
      <c r="D77" s="407"/>
      <c r="E77" s="407"/>
      <c r="F77" s="407"/>
      <c r="G77" s="407"/>
      <c r="H77" s="407"/>
      <c r="I77" s="407"/>
      <c r="J77" s="407"/>
      <c r="K77" s="407"/>
      <c r="L77" s="547">
        <f>L76+L75</f>
        <v>0</v>
      </c>
    </row>
  </sheetData>
  <autoFilter ref="A11:XFD77" xr:uid="{8681E387-A07A-49EC-9C1F-B69524BAB6D4}"/>
  <mergeCells count="17">
    <mergeCell ref="A7:B7"/>
    <mergeCell ref="K8:L8"/>
    <mergeCell ref="A9:A10"/>
    <mergeCell ref="B9:B10"/>
    <mergeCell ref="C9:C10"/>
    <mergeCell ref="D9:E9"/>
    <mergeCell ref="F9:G9"/>
    <mergeCell ref="H9:I9"/>
    <mergeCell ref="J9:K9"/>
    <mergeCell ref="L9:L10"/>
    <mergeCell ref="A6:B6"/>
    <mergeCell ref="K6:L6"/>
    <mergeCell ref="A1:L1"/>
    <mergeCell ref="A2:L2"/>
    <mergeCell ref="A3:L3"/>
    <mergeCell ref="H5:J5"/>
    <mergeCell ref="K5:L5"/>
  </mergeCells>
  <phoneticPr fontId="54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0DCC0-C7EE-462C-A974-80A5BDE6BEDA}">
  <sheetPr>
    <tabColor rgb="FF00B050"/>
  </sheetPr>
  <dimension ref="A1:Q42"/>
  <sheetViews>
    <sheetView topLeftCell="A23" zoomScale="85" zoomScaleNormal="85" workbookViewId="0">
      <selection activeCell="N40" sqref="N40:N42"/>
    </sheetView>
  </sheetViews>
  <sheetFormatPr defaultColWidth="9.109375" defaultRowHeight="14.4" x14ac:dyDescent="0.3"/>
  <cols>
    <col min="1" max="1" width="8.33203125" customWidth="1"/>
    <col min="2" max="2" width="51.5546875" customWidth="1"/>
    <col min="3" max="3" width="9.5546875" customWidth="1"/>
    <col min="4" max="4" width="9.88671875" customWidth="1"/>
    <col min="5" max="5" width="10.109375" customWidth="1"/>
    <col min="6" max="6" width="11.6640625" customWidth="1"/>
    <col min="7" max="7" width="9.88671875" bestFit="1" customWidth="1"/>
    <col min="8" max="8" width="9.5546875" bestFit="1" customWidth="1"/>
    <col min="9" max="9" width="13.6640625" bestFit="1" customWidth="1"/>
    <col min="10" max="10" width="9.5546875" bestFit="1" customWidth="1"/>
    <col min="11" max="11" width="12.5546875" bestFit="1" customWidth="1"/>
    <col min="12" max="12" width="9.33203125" bestFit="1" customWidth="1"/>
    <col min="13" max="13" width="12.5546875" customWidth="1"/>
    <col min="14" max="14" width="14.88671875" customWidth="1"/>
    <col min="15" max="15" width="44.109375" customWidth="1"/>
    <col min="16" max="16" width="10.88671875" customWidth="1"/>
    <col min="19" max="19" width="12" customWidth="1"/>
  </cols>
  <sheetData>
    <row r="1" spans="1:17" s="1" customFormat="1" ht="15.75" customHeight="1" x14ac:dyDescent="0.3">
      <c r="A1" s="676" t="s">
        <v>239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  <c r="L1" s="676"/>
      <c r="M1" s="676"/>
      <c r="N1" s="676"/>
    </row>
    <row r="2" spans="1:17" s="1" customFormat="1" ht="15.75" customHeight="1" x14ac:dyDescent="0.3">
      <c r="A2" s="676" t="s">
        <v>266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  <c r="M2" s="676"/>
      <c r="N2" s="676"/>
    </row>
    <row r="3" spans="1:17" s="1" customFormat="1" x14ac:dyDescent="0.3">
      <c r="A3" s="664"/>
      <c r="B3" s="664"/>
      <c r="C3" s="664"/>
      <c r="D3" s="664"/>
      <c r="E3" s="664"/>
      <c r="F3" s="664"/>
      <c r="G3" s="665"/>
      <c r="H3" s="664"/>
      <c r="I3" s="664"/>
      <c r="J3" s="664"/>
      <c r="K3" s="664"/>
      <c r="L3" s="664"/>
      <c r="M3" s="664"/>
      <c r="N3" s="664"/>
    </row>
    <row r="4" spans="1:17" s="6" customFormat="1" thickBot="1" x14ac:dyDescent="0.35">
      <c r="A4" s="2"/>
      <c r="B4" s="3"/>
      <c r="C4" s="3"/>
      <c r="D4" s="5"/>
      <c r="E4" s="2"/>
      <c r="F4" s="4"/>
      <c r="G4" s="89"/>
      <c r="H4" s="4"/>
      <c r="I4" s="5"/>
      <c r="J4" s="5"/>
      <c r="K4" s="5"/>
      <c r="L4" s="5"/>
      <c r="M4" s="5"/>
      <c r="N4" s="5"/>
    </row>
    <row r="5" spans="1:17" s="6" customFormat="1" thickBot="1" x14ac:dyDescent="0.35">
      <c r="A5" s="7"/>
      <c r="B5" s="7"/>
      <c r="C5" s="7"/>
      <c r="D5" s="667"/>
      <c r="E5" s="7"/>
      <c r="F5" s="7"/>
      <c r="G5" s="90"/>
      <c r="H5" s="4"/>
      <c r="I5" s="5"/>
      <c r="J5" s="5" t="s">
        <v>0</v>
      </c>
      <c r="K5" s="5"/>
      <c r="L5" s="5"/>
      <c r="M5" s="668">
        <f>N42</f>
        <v>0</v>
      </c>
      <c r="N5" s="666"/>
    </row>
    <row r="6" spans="1:17" s="6" customFormat="1" thickBot="1" x14ac:dyDescent="0.35">
      <c r="A6" s="8"/>
      <c r="B6" s="8"/>
      <c r="C6" s="8"/>
      <c r="D6" s="669"/>
      <c r="E6" s="8"/>
      <c r="F6" s="9"/>
      <c r="G6" s="89"/>
      <c r="H6" s="4"/>
      <c r="I6" s="5"/>
      <c r="J6" s="5"/>
      <c r="K6" s="5"/>
      <c r="L6" s="5"/>
      <c r="M6" s="662">
        <f>M5/M8</f>
        <v>0</v>
      </c>
      <c r="N6" s="663"/>
    </row>
    <row r="7" spans="1:17" s="6" customFormat="1" ht="13.8" x14ac:dyDescent="0.3">
      <c r="A7" s="8"/>
      <c r="B7" s="8"/>
      <c r="C7" s="8"/>
      <c r="D7" s="5"/>
      <c r="E7" s="2"/>
      <c r="F7" s="4"/>
      <c r="G7" s="89"/>
      <c r="H7" s="4"/>
      <c r="I7" s="5"/>
      <c r="J7" s="5"/>
      <c r="K7" s="5"/>
      <c r="L7" s="5"/>
      <c r="M7" s="5"/>
      <c r="N7" s="5"/>
    </row>
    <row r="8" spans="1:17" s="6" customFormat="1" thickBot="1" x14ac:dyDescent="0.35">
      <c r="A8" s="2"/>
      <c r="B8" s="3"/>
      <c r="C8" s="3"/>
      <c r="D8" s="659"/>
      <c r="E8" s="2"/>
      <c r="F8" s="4"/>
      <c r="G8" s="89"/>
      <c r="H8" s="4"/>
      <c r="I8" s="5"/>
      <c r="J8" s="5"/>
      <c r="K8" s="5"/>
      <c r="L8" s="5" t="s">
        <v>1</v>
      </c>
      <c r="M8" s="659">
        <v>2.64</v>
      </c>
      <c r="N8" s="659"/>
    </row>
    <row r="9" spans="1:17" s="101" customFormat="1" ht="33.75" customHeight="1" x14ac:dyDescent="0.3">
      <c r="A9" s="717" t="s">
        <v>20</v>
      </c>
      <c r="B9" s="719" t="s">
        <v>21</v>
      </c>
      <c r="C9" s="719" t="s">
        <v>4</v>
      </c>
      <c r="D9" s="721" t="s">
        <v>499</v>
      </c>
      <c r="E9" s="134" t="s">
        <v>22</v>
      </c>
      <c r="F9" s="134" t="s">
        <v>23</v>
      </c>
      <c r="G9" s="134"/>
      <c r="H9" s="660" t="s">
        <v>4</v>
      </c>
      <c r="I9" s="660"/>
      <c r="J9" s="660" t="s">
        <v>5</v>
      </c>
      <c r="K9" s="660"/>
      <c r="L9" s="660" t="s">
        <v>24</v>
      </c>
      <c r="M9" s="660"/>
      <c r="N9" s="661" t="s">
        <v>6</v>
      </c>
    </row>
    <row r="10" spans="1:17" s="101" customFormat="1" ht="51.75" customHeight="1" x14ac:dyDescent="0.3">
      <c r="A10" s="718"/>
      <c r="B10" s="720"/>
      <c r="C10" s="720"/>
      <c r="D10" s="722"/>
      <c r="E10" s="75"/>
      <c r="F10" s="81" t="s">
        <v>25</v>
      </c>
      <c r="G10" s="81" t="s">
        <v>3</v>
      </c>
      <c r="H10" s="81" t="s">
        <v>26</v>
      </c>
      <c r="I10" s="81" t="s">
        <v>6</v>
      </c>
      <c r="J10" s="81" t="s">
        <v>26</v>
      </c>
      <c r="K10" s="81" t="s">
        <v>6</v>
      </c>
      <c r="L10" s="81" t="s">
        <v>26</v>
      </c>
      <c r="M10" s="81" t="s">
        <v>6</v>
      </c>
      <c r="N10" s="82"/>
      <c r="O10" s="573"/>
    </row>
    <row r="11" spans="1:17" s="48" customFormat="1" ht="13.95" customHeight="1" thickBot="1" x14ac:dyDescent="0.35">
      <c r="A11" s="42">
        <v>1</v>
      </c>
      <c r="B11" s="43">
        <v>2</v>
      </c>
      <c r="C11" s="43"/>
      <c r="D11" s="670"/>
      <c r="E11" s="43">
        <v>3</v>
      </c>
      <c r="F11" s="43">
        <v>4</v>
      </c>
      <c r="G11" s="127">
        <v>5</v>
      </c>
      <c r="H11" s="128">
        <v>6</v>
      </c>
      <c r="I11" s="129">
        <v>7</v>
      </c>
      <c r="J11" s="129">
        <v>8</v>
      </c>
      <c r="K11" s="129">
        <v>9</v>
      </c>
      <c r="L11" s="129">
        <v>10</v>
      </c>
      <c r="M11" s="129">
        <v>11</v>
      </c>
      <c r="N11" s="130">
        <v>12</v>
      </c>
      <c r="O11" s="573"/>
    </row>
    <row r="12" spans="1:17" s="189" customFormat="1" ht="30.6" thickBot="1" x14ac:dyDescent="0.45">
      <c r="A12" s="233">
        <v>1</v>
      </c>
      <c r="B12" s="234" t="s">
        <v>488</v>
      </c>
      <c r="C12" s="234" t="s">
        <v>489</v>
      </c>
      <c r="D12" s="671">
        <v>90</v>
      </c>
      <c r="E12" s="235" t="s">
        <v>235</v>
      </c>
      <c r="F12" s="235" t="s">
        <v>500</v>
      </c>
      <c r="G12" s="235">
        <v>1</v>
      </c>
      <c r="H12" s="237"/>
      <c r="I12" s="235"/>
      <c r="J12" s="235"/>
      <c r="K12" s="235"/>
      <c r="L12" s="236"/>
      <c r="M12" s="236"/>
      <c r="N12" s="232"/>
      <c r="O12" s="573"/>
      <c r="P12" s="181"/>
      <c r="Q12" s="181"/>
    </row>
    <row r="13" spans="1:17" s="189" customFormat="1" ht="39" customHeight="1" thickBot="1" x14ac:dyDescent="0.45">
      <c r="A13" s="233" t="s">
        <v>490</v>
      </c>
      <c r="B13" s="234" t="s">
        <v>491</v>
      </c>
      <c r="C13" s="234" t="s">
        <v>489</v>
      </c>
      <c r="D13" s="671">
        <v>90</v>
      </c>
      <c r="E13" s="235" t="s">
        <v>235</v>
      </c>
      <c r="F13" s="235" t="s">
        <v>500</v>
      </c>
      <c r="G13" s="235">
        <v>1</v>
      </c>
      <c r="H13" s="237"/>
      <c r="I13" s="235"/>
      <c r="J13" s="235"/>
      <c r="K13" s="235"/>
      <c r="L13" s="236"/>
      <c r="M13" s="236"/>
      <c r="N13" s="232"/>
      <c r="O13" s="573"/>
      <c r="P13" s="181"/>
      <c r="Q13" s="181"/>
    </row>
    <row r="14" spans="1:17" s="189" customFormat="1" ht="30.6" thickBot="1" x14ac:dyDescent="0.45">
      <c r="A14" s="233">
        <v>2</v>
      </c>
      <c r="B14" s="234" t="s">
        <v>492</v>
      </c>
      <c r="C14" s="234" t="s">
        <v>489</v>
      </c>
      <c r="D14" s="671">
        <v>90</v>
      </c>
      <c r="E14" s="235" t="s">
        <v>235</v>
      </c>
      <c r="F14" s="235" t="s">
        <v>500</v>
      </c>
      <c r="G14" s="235">
        <v>1</v>
      </c>
      <c r="H14" s="237"/>
      <c r="I14" s="235"/>
      <c r="J14" s="235"/>
      <c r="K14" s="235"/>
      <c r="L14" s="236"/>
      <c r="M14" s="236"/>
      <c r="N14" s="232"/>
      <c r="O14" s="573"/>
      <c r="P14" s="181"/>
      <c r="Q14" s="181"/>
    </row>
    <row r="15" spans="1:17" s="189" customFormat="1" ht="30.6" thickBot="1" x14ac:dyDescent="0.45">
      <c r="A15" s="233">
        <v>3</v>
      </c>
      <c r="B15" s="234" t="s">
        <v>372</v>
      </c>
      <c r="C15" s="234" t="s">
        <v>489</v>
      </c>
      <c r="D15" s="671">
        <v>20</v>
      </c>
      <c r="E15" s="235" t="s">
        <v>235</v>
      </c>
      <c r="F15" s="235" t="s">
        <v>500</v>
      </c>
      <c r="G15" s="235">
        <v>4</v>
      </c>
      <c r="H15" s="237"/>
      <c r="I15" s="235"/>
      <c r="J15" s="235"/>
      <c r="K15" s="235"/>
      <c r="L15" s="236"/>
      <c r="M15" s="236"/>
      <c r="N15" s="232"/>
      <c r="O15" s="573"/>
      <c r="P15" s="181"/>
      <c r="Q15" s="181"/>
    </row>
    <row r="16" spans="1:17" s="189" customFormat="1" ht="30.6" thickBot="1" x14ac:dyDescent="0.45">
      <c r="A16" s="233">
        <v>4</v>
      </c>
      <c r="B16" s="234" t="s">
        <v>374</v>
      </c>
      <c r="C16" s="234" t="s">
        <v>489</v>
      </c>
      <c r="D16" s="671">
        <v>20</v>
      </c>
      <c r="E16" s="235" t="s">
        <v>235</v>
      </c>
      <c r="F16" s="235" t="s">
        <v>500</v>
      </c>
      <c r="G16" s="235">
        <v>5</v>
      </c>
      <c r="H16" s="237"/>
      <c r="I16" s="235"/>
      <c r="J16" s="235"/>
      <c r="K16" s="235"/>
      <c r="L16" s="236"/>
      <c r="M16" s="236"/>
      <c r="N16" s="232"/>
      <c r="O16" s="573"/>
      <c r="P16" s="181"/>
      <c r="Q16" s="181"/>
    </row>
    <row r="17" spans="1:17" s="189" customFormat="1" ht="39" customHeight="1" thickBot="1" x14ac:dyDescent="0.45">
      <c r="A17" s="233">
        <v>5</v>
      </c>
      <c r="B17" s="234" t="s">
        <v>409</v>
      </c>
      <c r="C17" s="234" t="s">
        <v>489</v>
      </c>
      <c r="D17" s="671">
        <v>90</v>
      </c>
      <c r="E17" s="235" t="s">
        <v>235</v>
      </c>
      <c r="F17" s="235" t="s">
        <v>500</v>
      </c>
      <c r="G17" s="235">
        <v>11</v>
      </c>
      <c r="H17" s="237"/>
      <c r="I17" s="235"/>
      <c r="J17" s="235"/>
      <c r="K17" s="235"/>
      <c r="L17" s="236"/>
      <c r="M17" s="236"/>
      <c r="N17" s="232"/>
      <c r="O17" s="573"/>
      <c r="P17" s="181"/>
      <c r="Q17" s="181"/>
    </row>
    <row r="18" spans="1:17" s="189" customFormat="1" ht="30.6" thickBot="1" x14ac:dyDescent="0.45">
      <c r="A18" s="233">
        <v>6</v>
      </c>
      <c r="B18" s="234" t="s">
        <v>375</v>
      </c>
      <c r="C18" s="234" t="s">
        <v>489</v>
      </c>
      <c r="D18" s="671">
        <v>0</v>
      </c>
      <c r="E18" s="235" t="s">
        <v>235</v>
      </c>
      <c r="F18" s="235" t="s">
        <v>500</v>
      </c>
      <c r="G18" s="235">
        <v>5</v>
      </c>
      <c r="H18" s="237"/>
      <c r="I18" s="235"/>
      <c r="J18" s="235"/>
      <c r="K18" s="235"/>
      <c r="L18" s="236"/>
      <c r="M18" s="236"/>
      <c r="N18" s="232"/>
      <c r="O18" s="573"/>
      <c r="P18" s="181"/>
      <c r="Q18" s="181"/>
    </row>
    <row r="19" spans="1:17" s="189" customFormat="1" ht="30.6" thickBot="1" x14ac:dyDescent="0.45">
      <c r="A19" s="233">
        <v>7</v>
      </c>
      <c r="B19" s="234" t="s">
        <v>376</v>
      </c>
      <c r="C19" s="234" t="s">
        <v>489</v>
      </c>
      <c r="D19" s="671">
        <v>20</v>
      </c>
      <c r="E19" s="235" t="s">
        <v>235</v>
      </c>
      <c r="F19" s="235" t="s">
        <v>500</v>
      </c>
      <c r="G19" s="235">
        <v>34</v>
      </c>
      <c r="H19" s="237"/>
      <c r="I19" s="235"/>
      <c r="J19" s="235"/>
      <c r="K19" s="235"/>
      <c r="L19" s="236"/>
      <c r="M19" s="236"/>
      <c r="N19" s="232"/>
      <c r="O19" s="573"/>
      <c r="P19" s="181"/>
      <c r="Q19" s="181"/>
    </row>
    <row r="20" spans="1:17" s="189" customFormat="1" ht="30.6" thickBot="1" x14ac:dyDescent="0.45">
      <c r="A20" s="233">
        <v>8</v>
      </c>
      <c r="B20" s="234" t="s">
        <v>377</v>
      </c>
      <c r="C20" s="234" t="s">
        <v>489</v>
      </c>
      <c r="D20" s="671">
        <v>20</v>
      </c>
      <c r="E20" s="235" t="s">
        <v>235</v>
      </c>
      <c r="F20" s="235" t="s">
        <v>500</v>
      </c>
      <c r="G20" s="235">
        <v>13</v>
      </c>
      <c r="H20" s="237"/>
      <c r="I20" s="235"/>
      <c r="J20" s="235"/>
      <c r="K20" s="235"/>
      <c r="L20" s="236"/>
      <c r="M20" s="236"/>
      <c r="N20" s="232"/>
      <c r="O20" s="573"/>
      <c r="P20" s="181"/>
      <c r="Q20" s="181"/>
    </row>
    <row r="21" spans="1:17" s="189" customFormat="1" ht="39" customHeight="1" thickBot="1" x14ac:dyDescent="0.45">
      <c r="A21" s="233">
        <v>9</v>
      </c>
      <c r="B21" s="234" t="s">
        <v>493</v>
      </c>
      <c r="C21" s="234" t="s">
        <v>489</v>
      </c>
      <c r="D21" s="671">
        <v>90</v>
      </c>
      <c r="E21" s="235" t="s">
        <v>235</v>
      </c>
      <c r="F21" s="235" t="s">
        <v>500</v>
      </c>
      <c r="G21" s="235">
        <v>4</v>
      </c>
      <c r="H21" s="237"/>
      <c r="I21" s="235"/>
      <c r="J21" s="235"/>
      <c r="K21" s="235"/>
      <c r="L21" s="236"/>
      <c r="M21" s="236"/>
      <c r="N21" s="232"/>
      <c r="O21" s="573"/>
      <c r="P21" s="181"/>
      <c r="Q21" s="181"/>
    </row>
    <row r="22" spans="1:17" s="189" customFormat="1" ht="30.6" thickBot="1" x14ac:dyDescent="0.45">
      <c r="A22" s="233">
        <v>10</v>
      </c>
      <c r="B22" s="234" t="s">
        <v>373</v>
      </c>
      <c r="C22" s="234" t="s">
        <v>489</v>
      </c>
      <c r="D22" s="671">
        <v>0</v>
      </c>
      <c r="E22" s="235" t="s">
        <v>235</v>
      </c>
      <c r="F22" s="235" t="s">
        <v>500</v>
      </c>
      <c r="G22" s="235">
        <v>1</v>
      </c>
      <c r="H22" s="237"/>
      <c r="I22" s="235"/>
      <c r="J22" s="235"/>
      <c r="K22" s="235"/>
      <c r="L22" s="236"/>
      <c r="M22" s="236"/>
      <c r="N22" s="232"/>
      <c r="O22" s="573"/>
      <c r="P22" s="181"/>
      <c r="Q22" s="181"/>
    </row>
    <row r="23" spans="1:17" s="189" customFormat="1" ht="30.6" thickBot="1" x14ac:dyDescent="0.45">
      <c r="A23" s="233">
        <v>11</v>
      </c>
      <c r="B23" s="234" t="s">
        <v>494</v>
      </c>
      <c r="C23" s="234" t="s">
        <v>489</v>
      </c>
      <c r="D23" s="671">
        <v>0</v>
      </c>
      <c r="E23" s="235" t="s">
        <v>235</v>
      </c>
      <c r="F23" s="235" t="s">
        <v>500</v>
      </c>
      <c r="G23" s="235">
        <v>2</v>
      </c>
      <c r="H23" s="237"/>
      <c r="I23" s="235"/>
      <c r="J23" s="235"/>
      <c r="K23" s="235"/>
      <c r="L23" s="236"/>
      <c r="M23" s="236"/>
      <c r="N23" s="232"/>
      <c r="O23" s="573"/>
      <c r="P23" s="181"/>
      <c r="Q23" s="181"/>
    </row>
    <row r="24" spans="1:17" s="189" customFormat="1" ht="30.6" thickBot="1" x14ac:dyDescent="0.45">
      <c r="A24" s="233">
        <v>12</v>
      </c>
      <c r="B24" s="234" t="s">
        <v>495</v>
      </c>
      <c r="C24" s="234" t="s">
        <v>489</v>
      </c>
      <c r="D24" s="671">
        <v>0</v>
      </c>
      <c r="E24" s="235" t="s">
        <v>235</v>
      </c>
      <c r="F24" s="235" t="s">
        <v>500</v>
      </c>
      <c r="G24" s="235">
        <v>6</v>
      </c>
      <c r="H24" s="237"/>
      <c r="I24" s="235"/>
      <c r="J24" s="235"/>
      <c r="K24" s="235"/>
      <c r="L24" s="236"/>
      <c r="M24" s="236"/>
      <c r="N24" s="232"/>
      <c r="O24" s="573"/>
      <c r="P24" s="181"/>
      <c r="Q24" s="181"/>
    </row>
    <row r="25" spans="1:17" s="189" customFormat="1" ht="30.6" thickBot="1" x14ac:dyDescent="0.45">
      <c r="A25" s="233" t="s">
        <v>496</v>
      </c>
      <c r="B25" s="234" t="s">
        <v>501</v>
      </c>
      <c r="C25" s="234" t="s">
        <v>489</v>
      </c>
      <c r="D25" s="671">
        <v>0</v>
      </c>
      <c r="E25" s="235" t="s">
        <v>235</v>
      </c>
      <c r="F25" s="235" t="s">
        <v>500</v>
      </c>
      <c r="G25" s="235">
        <v>6</v>
      </c>
      <c r="H25" s="237"/>
      <c r="I25" s="235"/>
      <c r="J25" s="235"/>
      <c r="K25" s="235"/>
      <c r="L25" s="236"/>
      <c r="M25" s="236"/>
      <c r="N25" s="232"/>
      <c r="O25" s="573"/>
      <c r="P25" s="181"/>
      <c r="Q25" s="181"/>
    </row>
    <row r="26" spans="1:17" s="189" customFormat="1" ht="30.6" thickBot="1" x14ac:dyDescent="0.45">
      <c r="A26" s="233">
        <v>13</v>
      </c>
      <c r="B26" s="234" t="s">
        <v>497</v>
      </c>
      <c r="C26" s="420" t="s">
        <v>498</v>
      </c>
      <c r="D26" s="671">
        <v>0</v>
      </c>
      <c r="E26" s="235" t="s">
        <v>235</v>
      </c>
      <c r="F26" s="235" t="s">
        <v>500</v>
      </c>
      <c r="G26" s="235">
        <v>3</v>
      </c>
      <c r="H26" s="237"/>
      <c r="I26" s="235"/>
      <c r="J26" s="235"/>
      <c r="K26" s="235"/>
      <c r="L26" s="236"/>
      <c r="M26" s="236"/>
      <c r="N26" s="232"/>
      <c r="O26" s="573"/>
      <c r="P26" s="181"/>
      <c r="Q26" s="181"/>
    </row>
    <row r="27" spans="1:17" s="189" customFormat="1" ht="16.8" thickBot="1" x14ac:dyDescent="0.45">
      <c r="A27" s="233"/>
      <c r="B27" s="234" t="s">
        <v>440</v>
      </c>
      <c r="C27" s="234"/>
      <c r="D27" s="671"/>
      <c r="E27" s="235"/>
      <c r="F27" s="235"/>
      <c r="G27" s="235"/>
      <c r="H27" s="237"/>
      <c r="I27" s="235"/>
      <c r="J27" s="235"/>
      <c r="K27" s="235"/>
      <c r="L27" s="236"/>
      <c r="M27" s="236"/>
      <c r="N27" s="232"/>
      <c r="O27" s="573"/>
      <c r="P27" s="181"/>
      <c r="Q27" s="181"/>
    </row>
    <row r="28" spans="1:17" s="189" customFormat="1" ht="16.8" thickBot="1" x14ac:dyDescent="0.45">
      <c r="A28" s="233">
        <v>14</v>
      </c>
      <c r="B28" s="420" t="s">
        <v>441</v>
      </c>
      <c r="C28" s="420"/>
      <c r="D28" s="671"/>
      <c r="E28" s="235" t="s">
        <v>9</v>
      </c>
      <c r="F28" s="235"/>
      <c r="G28" s="235">
        <v>3</v>
      </c>
      <c r="H28" s="237"/>
      <c r="I28" s="235"/>
      <c r="J28" s="235"/>
      <c r="K28" s="235"/>
      <c r="L28" s="236"/>
      <c r="M28" s="236"/>
      <c r="N28" s="232"/>
      <c r="O28" s="573"/>
      <c r="P28" s="181"/>
      <c r="Q28" s="181"/>
    </row>
    <row r="29" spans="1:17" s="189" customFormat="1" ht="16.8" thickBot="1" x14ac:dyDescent="0.45">
      <c r="A29" s="233">
        <v>15</v>
      </c>
      <c r="B29" s="420" t="s">
        <v>442</v>
      </c>
      <c r="C29" s="420"/>
      <c r="D29" s="671"/>
      <c r="E29" s="235" t="s">
        <v>9</v>
      </c>
      <c r="F29" s="235"/>
      <c r="G29" s="235">
        <v>4</v>
      </c>
      <c r="H29" s="237"/>
      <c r="I29" s="235"/>
      <c r="J29" s="235"/>
      <c r="K29" s="235"/>
      <c r="L29" s="236"/>
      <c r="M29" s="236"/>
      <c r="N29" s="232"/>
      <c r="O29" s="573"/>
      <c r="P29" s="181"/>
      <c r="Q29" s="181"/>
    </row>
    <row r="30" spans="1:17" s="189" customFormat="1" ht="16.8" thickBot="1" x14ac:dyDescent="0.45">
      <c r="A30" s="233">
        <v>16</v>
      </c>
      <c r="B30" s="420" t="s">
        <v>443</v>
      </c>
      <c r="C30" s="420"/>
      <c r="D30" s="671"/>
      <c r="E30" s="235" t="s">
        <v>9</v>
      </c>
      <c r="F30" s="235"/>
      <c r="G30" s="235">
        <v>5</v>
      </c>
      <c r="H30" s="237"/>
      <c r="I30" s="235"/>
      <c r="J30" s="235"/>
      <c r="K30" s="235"/>
      <c r="L30" s="236"/>
      <c r="M30" s="236"/>
      <c r="N30" s="232"/>
      <c r="O30" s="573"/>
      <c r="P30" s="181"/>
      <c r="Q30" s="181"/>
    </row>
    <row r="31" spans="1:17" s="189" customFormat="1" ht="16.8" thickBot="1" x14ac:dyDescent="0.45">
      <c r="A31" s="233">
        <v>17</v>
      </c>
      <c r="B31" s="420" t="s">
        <v>444</v>
      </c>
      <c r="C31" s="420"/>
      <c r="D31" s="671"/>
      <c r="E31" s="235" t="s">
        <v>9</v>
      </c>
      <c r="F31" s="235"/>
      <c r="G31" s="235">
        <v>1</v>
      </c>
      <c r="H31" s="237"/>
      <c r="I31" s="235"/>
      <c r="J31" s="235"/>
      <c r="K31" s="235"/>
      <c r="L31" s="236"/>
      <c r="M31" s="236"/>
      <c r="N31" s="232"/>
      <c r="O31" s="573"/>
      <c r="P31" s="181"/>
      <c r="Q31" s="181"/>
    </row>
    <row r="32" spans="1:17" ht="13.95" customHeight="1" thickBot="1" x14ac:dyDescent="0.35">
      <c r="A32" s="263"/>
      <c r="B32" s="264" t="s">
        <v>6</v>
      </c>
      <c r="C32" s="264"/>
      <c r="D32" s="671"/>
      <c r="E32" s="264"/>
      <c r="F32" s="264"/>
      <c r="G32" s="264"/>
      <c r="H32" s="264"/>
      <c r="I32" s="549">
        <f>SUM(I12:I31)</f>
        <v>0</v>
      </c>
      <c r="J32" s="549"/>
      <c r="K32" s="549">
        <f>SUM(K12:K31)</f>
        <v>0</v>
      </c>
      <c r="L32" s="549"/>
      <c r="M32" s="549">
        <f t="shared" ref="M32:N32" si="0">SUM(M12:M31)</f>
        <v>0</v>
      </c>
      <c r="N32" s="672">
        <f t="shared" si="0"/>
        <v>0</v>
      </c>
      <c r="O32" s="573"/>
    </row>
    <row r="33" spans="1:14" x14ac:dyDescent="0.3">
      <c r="A33" s="256"/>
      <c r="B33" s="257" t="s">
        <v>128</v>
      </c>
      <c r="C33" s="257"/>
      <c r="D33" s="673"/>
      <c r="E33" s="258"/>
      <c r="F33" s="257"/>
      <c r="G33" s="257"/>
      <c r="H33" s="257"/>
      <c r="I33" s="257"/>
      <c r="J33" s="257"/>
      <c r="K33" s="257"/>
      <c r="L33" s="257"/>
      <c r="M33" s="257"/>
      <c r="N33" s="266">
        <f>N32*E33</f>
        <v>0</v>
      </c>
    </row>
    <row r="34" spans="1:14" x14ac:dyDescent="0.3">
      <c r="A34" s="259"/>
      <c r="B34" s="219" t="s">
        <v>6</v>
      </c>
      <c r="C34" s="219"/>
      <c r="D34" s="129"/>
      <c r="E34" s="60"/>
      <c r="F34" s="219"/>
      <c r="G34" s="219"/>
      <c r="H34" s="219"/>
      <c r="I34" s="219"/>
      <c r="J34" s="219"/>
      <c r="K34" s="219"/>
      <c r="L34" s="219"/>
      <c r="M34" s="219"/>
      <c r="N34" s="267">
        <f>N33+N32</f>
        <v>0</v>
      </c>
    </row>
    <row r="35" spans="1:14" x14ac:dyDescent="0.3">
      <c r="A35" s="259"/>
      <c r="B35" s="219" t="s">
        <v>154</v>
      </c>
      <c r="C35" s="219"/>
      <c r="D35" s="129"/>
      <c r="E35" s="18"/>
      <c r="F35" s="219"/>
      <c r="G35" s="219"/>
      <c r="H35" s="219"/>
      <c r="I35" s="219"/>
      <c r="J35" s="219"/>
      <c r="K35" s="219"/>
      <c r="L35" s="219"/>
      <c r="M35" s="219"/>
      <c r="N35" s="267">
        <f>N34*E35</f>
        <v>0</v>
      </c>
    </row>
    <row r="36" spans="1:14" x14ac:dyDescent="0.3">
      <c r="A36" s="259"/>
      <c r="B36" s="219" t="s">
        <v>6</v>
      </c>
      <c r="C36" s="219"/>
      <c r="D36" s="129"/>
      <c r="E36" s="18"/>
      <c r="F36" s="219"/>
      <c r="G36" s="219"/>
      <c r="H36" s="219"/>
      <c r="I36" s="219"/>
      <c r="J36" s="219"/>
      <c r="K36" s="219"/>
      <c r="L36" s="219"/>
      <c r="M36" s="219"/>
      <c r="N36" s="267">
        <f>N35+N34</f>
        <v>0</v>
      </c>
    </row>
    <row r="37" spans="1:14" x14ac:dyDescent="0.3">
      <c r="A37" s="259"/>
      <c r="B37" s="219" t="s">
        <v>17</v>
      </c>
      <c r="C37" s="219"/>
      <c r="D37" s="129"/>
      <c r="E37" s="18"/>
      <c r="F37" s="219"/>
      <c r="G37" s="219"/>
      <c r="H37" s="219"/>
      <c r="I37" s="219"/>
      <c r="J37" s="219"/>
      <c r="K37" s="219"/>
      <c r="L37" s="219"/>
      <c r="M37" s="219"/>
      <c r="N37" s="267">
        <f>E37*N36</f>
        <v>0</v>
      </c>
    </row>
    <row r="38" spans="1:14" x14ac:dyDescent="0.3">
      <c r="A38" s="259"/>
      <c r="B38" s="219" t="s">
        <v>6</v>
      </c>
      <c r="C38" s="219"/>
      <c r="D38" s="129"/>
      <c r="E38" s="18"/>
      <c r="F38" s="219"/>
      <c r="G38" s="219"/>
      <c r="H38" s="219"/>
      <c r="I38" s="219"/>
      <c r="J38" s="219"/>
      <c r="K38" s="219"/>
      <c r="L38" s="219"/>
      <c r="M38" s="219"/>
      <c r="N38" s="267">
        <f>N37+N36</f>
        <v>0</v>
      </c>
    </row>
    <row r="39" spans="1:14" x14ac:dyDescent="0.3">
      <c r="A39" s="259"/>
      <c r="B39" s="219" t="s">
        <v>18</v>
      </c>
      <c r="C39" s="219"/>
      <c r="D39" s="129"/>
      <c r="E39" s="18"/>
      <c r="F39" s="219"/>
      <c r="G39" s="219"/>
      <c r="H39" s="219"/>
      <c r="I39" s="219"/>
      <c r="J39" s="219"/>
      <c r="K39" s="219"/>
      <c r="L39" s="219"/>
      <c r="M39" s="219"/>
      <c r="N39" s="267">
        <f>N38*E39</f>
        <v>0</v>
      </c>
    </row>
    <row r="40" spans="1:14" x14ac:dyDescent="0.3">
      <c r="A40" s="259"/>
      <c r="B40" s="219" t="s">
        <v>6</v>
      </c>
      <c r="C40" s="219"/>
      <c r="D40" s="129"/>
      <c r="E40" s="29"/>
      <c r="F40" s="219"/>
      <c r="G40" s="219"/>
      <c r="H40" s="219"/>
      <c r="I40" s="219"/>
      <c r="J40" s="219"/>
      <c r="K40" s="219"/>
      <c r="L40" s="219"/>
      <c r="M40" s="219"/>
      <c r="N40" s="544">
        <f>N39+N38</f>
        <v>0</v>
      </c>
    </row>
    <row r="41" spans="1:14" ht="15" thickBot="1" x14ac:dyDescent="0.35">
      <c r="A41" s="260"/>
      <c r="B41" s="261" t="s">
        <v>19</v>
      </c>
      <c r="C41" s="261"/>
      <c r="D41" s="129"/>
      <c r="E41" s="262">
        <v>0.18</v>
      </c>
      <c r="F41" s="261"/>
      <c r="G41" s="261"/>
      <c r="H41" s="261"/>
      <c r="I41" s="261"/>
      <c r="J41" s="261"/>
      <c r="K41" s="261"/>
      <c r="L41" s="261"/>
      <c r="M41" s="261"/>
      <c r="N41" s="546">
        <f>N40*E41</f>
        <v>0</v>
      </c>
    </row>
    <row r="42" spans="1:14" ht="15" thickBot="1" x14ac:dyDescent="0.35">
      <c r="A42" s="255"/>
      <c r="B42" s="255" t="s">
        <v>6</v>
      </c>
      <c r="C42" s="255"/>
      <c r="D42" s="129"/>
      <c r="E42" s="255"/>
      <c r="F42" s="255"/>
      <c r="G42" s="255"/>
      <c r="H42" s="255"/>
      <c r="I42" s="255"/>
      <c r="J42" s="255"/>
      <c r="K42" s="255"/>
      <c r="L42" s="255"/>
      <c r="M42" s="255"/>
      <c r="N42" s="547">
        <f>N41+N40</f>
        <v>0</v>
      </c>
    </row>
  </sheetData>
  <mergeCells count="6">
    <mergeCell ref="A9:A10"/>
    <mergeCell ref="B9:B10"/>
    <mergeCell ref="C9:C10"/>
    <mergeCell ref="D9:D10"/>
    <mergeCell ref="A1:N1"/>
    <mergeCell ref="A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3DFF8-2ACE-43DB-8FD3-87F21EBAB4F7}">
  <sheetPr codeName="Sheet7">
    <tabColor rgb="FF00B050"/>
  </sheetPr>
  <dimension ref="A1:Q72"/>
  <sheetViews>
    <sheetView topLeftCell="A56" workbookViewId="0">
      <selection activeCell="L70" sqref="L70:L72"/>
    </sheetView>
  </sheetViews>
  <sheetFormatPr defaultColWidth="9.109375" defaultRowHeight="14.4" x14ac:dyDescent="0.3"/>
  <cols>
    <col min="1" max="1" width="8.33203125" customWidth="1"/>
    <col min="2" max="2" width="39.109375" customWidth="1"/>
    <col min="3" max="3" width="10.109375" customWidth="1"/>
    <col min="4" max="4" width="9.33203125" bestFit="1" customWidth="1"/>
    <col min="5" max="5" width="9.88671875" bestFit="1" customWidth="1"/>
    <col min="6" max="6" width="9.5546875" bestFit="1" customWidth="1"/>
    <col min="7" max="7" width="11.33203125" bestFit="1" customWidth="1"/>
    <col min="8" max="8" width="9.5546875" bestFit="1" customWidth="1"/>
    <col min="9" max="9" width="10.6640625" bestFit="1" customWidth="1"/>
    <col min="10" max="10" width="9.33203125" bestFit="1" customWidth="1"/>
    <col min="11" max="11" width="10.109375" customWidth="1"/>
    <col min="12" max="12" width="14.88671875" customWidth="1"/>
    <col min="13" max="13" width="22.88671875" customWidth="1"/>
    <col min="14" max="14" width="10.88671875" customWidth="1"/>
    <col min="17" max="17" width="12" customWidth="1"/>
  </cols>
  <sheetData>
    <row r="1" spans="1:12" s="1" customFormat="1" ht="15.6" x14ac:dyDescent="0.3">
      <c r="A1" s="676" t="s">
        <v>239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  <c r="L1" s="676"/>
    </row>
    <row r="2" spans="1:12" s="1" customFormat="1" ht="15.6" x14ac:dyDescent="0.3">
      <c r="A2" s="676" t="s">
        <v>146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</row>
    <row r="3" spans="1:12" s="1" customFormat="1" x14ac:dyDescent="0.3">
      <c r="A3" s="677"/>
      <c r="B3" s="677"/>
      <c r="C3" s="677"/>
      <c r="D3" s="677"/>
      <c r="E3" s="678"/>
      <c r="F3" s="677"/>
      <c r="G3" s="677"/>
      <c r="H3" s="677"/>
      <c r="I3" s="677"/>
      <c r="J3" s="677"/>
      <c r="K3" s="677"/>
      <c r="L3" s="677"/>
    </row>
    <row r="4" spans="1:12" s="6" customFormat="1" thickBot="1" x14ac:dyDescent="0.35">
      <c r="A4" s="2"/>
      <c r="B4" s="3"/>
      <c r="C4" s="2"/>
      <c r="D4" s="4"/>
      <c r="E4" s="89"/>
      <c r="F4" s="2"/>
      <c r="G4" s="5"/>
      <c r="H4" s="5"/>
      <c r="I4" s="5"/>
      <c r="J4" s="5"/>
      <c r="K4" s="5"/>
      <c r="L4" s="5"/>
    </row>
    <row r="5" spans="1:12" s="6" customFormat="1" thickBot="1" x14ac:dyDescent="0.35">
      <c r="A5" s="7"/>
      <c r="B5" s="7"/>
      <c r="C5" s="7"/>
      <c r="D5" s="7"/>
      <c r="E5" s="90"/>
      <c r="F5" s="2"/>
      <c r="G5" s="5"/>
      <c r="H5" s="679" t="s">
        <v>0</v>
      </c>
      <c r="I5" s="679"/>
      <c r="J5" s="679"/>
      <c r="K5" s="674">
        <f>L72</f>
        <v>0</v>
      </c>
      <c r="L5" s="675"/>
    </row>
    <row r="6" spans="1:12" s="6" customFormat="1" thickBot="1" x14ac:dyDescent="0.35">
      <c r="A6" s="682"/>
      <c r="B6" s="682"/>
      <c r="C6" s="8"/>
      <c r="D6" s="9"/>
      <c r="E6" s="89"/>
      <c r="F6" s="2"/>
      <c r="G6" s="5"/>
      <c r="H6" s="5"/>
      <c r="I6" s="5"/>
      <c r="J6" s="5"/>
      <c r="K6" s="683">
        <f>K5/K8</f>
        <v>0</v>
      </c>
      <c r="L6" s="684"/>
    </row>
    <row r="7" spans="1:12" s="6" customFormat="1" ht="13.8" x14ac:dyDescent="0.3">
      <c r="A7" s="682"/>
      <c r="B7" s="682"/>
      <c r="C7" s="2"/>
      <c r="D7" s="4"/>
      <c r="E7" s="89"/>
      <c r="F7" s="2"/>
      <c r="G7" s="5"/>
      <c r="H7" s="5"/>
      <c r="I7" s="5"/>
      <c r="J7" s="5"/>
      <c r="K7" s="5"/>
      <c r="L7" s="5"/>
    </row>
    <row r="8" spans="1:12" s="6" customFormat="1" thickBot="1" x14ac:dyDescent="0.35">
      <c r="A8" s="2"/>
      <c r="B8" s="3"/>
      <c r="C8" s="2"/>
      <c r="D8" s="4"/>
      <c r="E8" s="89"/>
      <c r="F8" s="2"/>
      <c r="G8" s="5"/>
      <c r="H8" s="5"/>
      <c r="I8" s="5"/>
      <c r="J8" s="5" t="s">
        <v>1</v>
      </c>
      <c r="K8" s="685">
        <v>2.62</v>
      </c>
      <c r="L8" s="685"/>
    </row>
    <row r="9" spans="1:12" s="101" customFormat="1" ht="42" customHeight="1" x14ac:dyDescent="0.3">
      <c r="A9" s="693" t="s">
        <v>20</v>
      </c>
      <c r="B9" s="691" t="s">
        <v>21</v>
      </c>
      <c r="C9" s="691" t="s">
        <v>22</v>
      </c>
      <c r="D9" s="691" t="s">
        <v>23</v>
      </c>
      <c r="E9" s="691"/>
      <c r="F9" s="688" t="s">
        <v>4</v>
      </c>
      <c r="G9" s="688"/>
      <c r="H9" s="688" t="s">
        <v>5</v>
      </c>
      <c r="I9" s="688"/>
      <c r="J9" s="688" t="s">
        <v>24</v>
      </c>
      <c r="K9" s="688"/>
      <c r="L9" s="689" t="s">
        <v>6</v>
      </c>
    </row>
    <row r="10" spans="1:12" s="101" customFormat="1" ht="81.75" customHeight="1" x14ac:dyDescent="0.3">
      <c r="A10" s="694"/>
      <c r="B10" s="692"/>
      <c r="C10" s="692"/>
      <c r="D10" s="81" t="s">
        <v>25</v>
      </c>
      <c r="E10" s="81" t="s">
        <v>3</v>
      </c>
      <c r="F10" s="433" t="s">
        <v>26</v>
      </c>
      <c r="G10" s="81" t="s">
        <v>6</v>
      </c>
      <c r="H10" s="81" t="s">
        <v>26</v>
      </c>
      <c r="I10" s="81" t="s">
        <v>6</v>
      </c>
      <c r="J10" s="81" t="s">
        <v>26</v>
      </c>
      <c r="K10" s="81" t="s">
        <v>6</v>
      </c>
      <c r="L10" s="690"/>
    </row>
    <row r="11" spans="1:12" s="48" customFormat="1" ht="13.95" customHeight="1" thickBot="1" x14ac:dyDescent="0.35">
      <c r="A11" s="42">
        <v>1</v>
      </c>
      <c r="B11" s="43">
        <v>2</v>
      </c>
      <c r="C11" s="43">
        <v>3</v>
      </c>
      <c r="D11" s="43">
        <v>4</v>
      </c>
      <c r="E11" s="127">
        <v>5</v>
      </c>
      <c r="F11" s="128">
        <v>6</v>
      </c>
      <c r="G11" s="129">
        <v>7</v>
      </c>
      <c r="H11" s="129">
        <v>8</v>
      </c>
      <c r="I11" s="129">
        <v>9</v>
      </c>
      <c r="J11" s="129">
        <v>10</v>
      </c>
      <c r="K11" s="129">
        <v>11</v>
      </c>
      <c r="L11" s="130">
        <v>12</v>
      </c>
    </row>
    <row r="12" spans="1:12" s="69" customFormat="1" ht="38.25" customHeight="1" x14ac:dyDescent="0.3">
      <c r="A12" s="97">
        <v>1</v>
      </c>
      <c r="B12" s="396" t="s">
        <v>412</v>
      </c>
      <c r="C12" s="397" t="s">
        <v>342</v>
      </c>
      <c r="D12" s="397"/>
      <c r="E12" s="312">
        <v>163.80000000000001</v>
      </c>
      <c r="F12" s="312"/>
      <c r="G12" s="312"/>
      <c r="H12" s="312"/>
      <c r="I12" s="312"/>
      <c r="J12" s="312"/>
      <c r="K12" s="312"/>
      <c r="L12" s="398"/>
    </row>
    <row r="13" spans="1:12" s="69" customFormat="1" ht="13.95" customHeight="1" x14ac:dyDescent="0.3">
      <c r="A13" s="247"/>
      <c r="B13" s="248" t="s">
        <v>8</v>
      </c>
      <c r="C13" s="249" t="s">
        <v>342</v>
      </c>
      <c r="D13" s="249">
        <v>1</v>
      </c>
      <c r="E13" s="271"/>
      <c r="F13" s="271"/>
      <c r="G13" s="297"/>
      <c r="H13" s="271"/>
      <c r="I13" s="271"/>
      <c r="J13" s="271"/>
      <c r="K13" s="271"/>
      <c r="L13" s="399"/>
    </row>
    <row r="14" spans="1:12" s="69" customFormat="1" ht="13.95" customHeight="1" x14ac:dyDescent="0.3">
      <c r="A14" s="247"/>
      <c r="B14" s="248" t="s">
        <v>10</v>
      </c>
      <c r="C14" s="249" t="s">
        <v>15</v>
      </c>
      <c r="D14" s="249">
        <v>1</v>
      </c>
      <c r="E14" s="271"/>
      <c r="F14" s="271"/>
      <c r="G14" s="297"/>
      <c r="H14" s="271"/>
      <c r="I14" s="271"/>
      <c r="J14" s="271"/>
      <c r="K14" s="271"/>
      <c r="L14" s="399"/>
    </row>
    <row r="15" spans="1:12" s="69" customFormat="1" ht="13.95" customHeight="1" x14ac:dyDescent="0.3">
      <c r="A15" s="247"/>
      <c r="B15" s="248" t="s">
        <v>12</v>
      </c>
      <c r="C15" s="249"/>
      <c r="D15" s="249"/>
      <c r="E15" s="271"/>
      <c r="F15" s="271"/>
      <c r="G15" s="297"/>
      <c r="H15" s="271"/>
      <c r="I15" s="271"/>
      <c r="J15" s="271"/>
      <c r="K15" s="271"/>
      <c r="L15" s="399"/>
    </row>
    <row r="16" spans="1:12" s="69" customFormat="1" ht="19.5" customHeight="1" thickBot="1" x14ac:dyDescent="0.35">
      <c r="A16" s="279"/>
      <c r="B16" s="280" t="s">
        <v>14</v>
      </c>
      <c r="C16" s="250" t="s">
        <v>15</v>
      </c>
      <c r="D16" s="250">
        <v>1</v>
      </c>
      <c r="E16" s="311"/>
      <c r="F16" s="311"/>
      <c r="G16" s="313"/>
      <c r="H16" s="311"/>
      <c r="I16" s="311"/>
      <c r="J16" s="311"/>
      <c r="K16" s="311"/>
      <c r="L16" s="400"/>
    </row>
    <row r="17" spans="1:17" s="69" customFormat="1" ht="22.5" customHeight="1" x14ac:dyDescent="0.3">
      <c r="A17" s="97">
        <v>2</v>
      </c>
      <c r="B17" s="396" t="s">
        <v>411</v>
      </c>
      <c r="C17" s="397" t="s">
        <v>342</v>
      </c>
      <c r="D17" s="397"/>
      <c r="E17" s="312">
        <v>163.80000000000001</v>
      </c>
      <c r="F17" s="312"/>
      <c r="G17" s="312"/>
      <c r="H17" s="312"/>
      <c r="I17" s="312"/>
      <c r="J17" s="312"/>
      <c r="K17" s="312"/>
      <c r="L17" s="398"/>
    </row>
    <row r="18" spans="1:17" s="158" customFormat="1" ht="13.8" x14ac:dyDescent="0.3">
      <c r="A18" s="247"/>
      <c r="B18" s="248" t="s">
        <v>8</v>
      </c>
      <c r="C18" s="249" t="s">
        <v>33</v>
      </c>
      <c r="D18" s="249">
        <v>1</v>
      </c>
      <c r="E18" s="271"/>
      <c r="F18" s="271"/>
      <c r="G18" s="297"/>
      <c r="H18" s="271"/>
      <c r="I18" s="271"/>
      <c r="J18" s="271"/>
      <c r="K18" s="271"/>
      <c r="L18" s="399"/>
    </row>
    <row r="19" spans="1:17" s="158" customFormat="1" ht="13.8" x14ac:dyDescent="0.3">
      <c r="A19" s="247"/>
      <c r="B19" s="248" t="s">
        <v>12</v>
      </c>
      <c r="C19" s="249"/>
      <c r="D19" s="249"/>
      <c r="E19" s="271"/>
      <c r="F19" s="271"/>
      <c r="G19" s="297"/>
      <c r="H19" s="271"/>
      <c r="I19" s="271"/>
      <c r="J19" s="271"/>
      <c r="K19" s="271"/>
      <c r="L19" s="399"/>
    </row>
    <row r="20" spans="1:17" s="158" customFormat="1" ht="13.8" x14ac:dyDescent="0.3">
      <c r="A20" s="247"/>
      <c r="B20" s="248" t="s">
        <v>260</v>
      </c>
      <c r="C20" s="249" t="s">
        <v>244</v>
      </c>
      <c r="D20" s="249">
        <f>0.15*2</f>
        <v>0.3</v>
      </c>
      <c r="E20" s="271"/>
      <c r="F20" s="271"/>
      <c r="G20" s="297"/>
      <c r="H20" s="271"/>
      <c r="I20" s="271"/>
      <c r="J20" s="271"/>
      <c r="K20" s="271"/>
      <c r="L20" s="399"/>
    </row>
    <row r="21" spans="1:17" s="158" customFormat="1" thickBot="1" x14ac:dyDescent="0.35">
      <c r="A21" s="401"/>
      <c r="B21" s="280" t="s">
        <v>14</v>
      </c>
      <c r="C21" s="250" t="s">
        <v>15</v>
      </c>
      <c r="D21" s="249">
        <v>0.104</v>
      </c>
      <c r="E21" s="271"/>
      <c r="F21" s="271"/>
      <c r="G21" s="297"/>
      <c r="H21" s="271"/>
      <c r="I21" s="271"/>
      <c r="J21" s="271"/>
      <c r="K21" s="271"/>
      <c r="L21" s="399"/>
    </row>
    <row r="22" spans="1:17" s="184" customFormat="1" ht="27.75" customHeight="1" x14ac:dyDescent="0.3">
      <c r="A22" s="119">
        <v>3</v>
      </c>
      <c r="B22" s="137" t="s">
        <v>381</v>
      </c>
      <c r="C22" s="287" t="s">
        <v>33</v>
      </c>
      <c r="D22" s="378"/>
      <c r="E22" s="392">
        <v>185</v>
      </c>
      <c r="F22" s="385"/>
      <c r="G22" s="393"/>
      <c r="H22" s="393"/>
      <c r="I22" s="393"/>
      <c r="J22" s="393"/>
      <c r="K22" s="393"/>
      <c r="L22" s="379"/>
      <c r="Q22" s="285"/>
    </row>
    <row r="23" spans="1:17" s="184" customFormat="1" ht="18" customHeight="1" x14ac:dyDescent="0.3">
      <c r="A23" s="120"/>
      <c r="B23" s="286" t="s">
        <v>8</v>
      </c>
      <c r="C23" s="121" t="s">
        <v>33</v>
      </c>
      <c r="D23" s="122">
        <v>1</v>
      </c>
      <c r="E23" s="122"/>
      <c r="F23" s="388"/>
      <c r="G23" s="388"/>
      <c r="H23" s="389"/>
      <c r="I23" s="389"/>
      <c r="J23" s="389"/>
      <c r="K23" s="389"/>
      <c r="L23" s="380"/>
      <c r="Q23" s="285"/>
    </row>
    <row r="24" spans="1:17" s="184" customFormat="1" ht="18" customHeight="1" x14ac:dyDescent="0.3">
      <c r="A24" s="120"/>
      <c r="B24" s="286" t="s">
        <v>10</v>
      </c>
      <c r="C24" s="121" t="s">
        <v>15</v>
      </c>
      <c r="D24" s="122">
        <f>0.08</f>
        <v>0.08</v>
      </c>
      <c r="E24" s="122"/>
      <c r="F24" s="388"/>
      <c r="G24" s="388"/>
      <c r="H24" s="389"/>
      <c r="I24" s="389"/>
      <c r="J24" s="389"/>
      <c r="K24" s="389"/>
      <c r="L24" s="380"/>
      <c r="Q24" s="285"/>
    </row>
    <row r="25" spans="1:17" s="184" customFormat="1" ht="18" customHeight="1" x14ac:dyDescent="0.3">
      <c r="A25" s="120"/>
      <c r="B25" s="286" t="s">
        <v>12</v>
      </c>
      <c r="C25" s="121"/>
      <c r="D25" s="122"/>
      <c r="E25" s="122"/>
      <c r="F25" s="388"/>
      <c r="G25" s="388"/>
      <c r="H25" s="389"/>
      <c r="I25" s="389"/>
      <c r="J25" s="389"/>
      <c r="K25" s="389"/>
      <c r="L25" s="380"/>
      <c r="Q25" s="285"/>
    </row>
    <row r="26" spans="1:17" s="184" customFormat="1" ht="18" customHeight="1" x14ac:dyDescent="0.3">
      <c r="A26" s="120"/>
      <c r="B26" s="286" t="s">
        <v>378</v>
      </c>
      <c r="C26" s="121" t="s">
        <v>33</v>
      </c>
      <c r="D26" s="122">
        <f>1.05</f>
        <v>1.05</v>
      </c>
      <c r="E26" s="122"/>
      <c r="F26" s="388"/>
      <c r="G26" s="388"/>
      <c r="H26" s="389"/>
      <c r="I26" s="389"/>
      <c r="J26" s="389"/>
      <c r="K26" s="389"/>
      <c r="L26" s="380"/>
      <c r="Q26" s="285"/>
    </row>
    <row r="27" spans="1:17" s="184" customFormat="1" ht="18" customHeight="1" x14ac:dyDescent="0.3">
      <c r="A27" s="120"/>
      <c r="B27" s="286" t="s">
        <v>379</v>
      </c>
      <c r="C27" s="121" t="s">
        <v>33</v>
      </c>
      <c r="D27" s="122">
        <f>1.05</f>
        <v>1.05</v>
      </c>
      <c r="E27" s="122"/>
      <c r="F27" s="388"/>
      <c r="G27" s="388"/>
      <c r="H27" s="389"/>
      <c r="I27" s="389"/>
      <c r="J27" s="389"/>
      <c r="K27" s="389"/>
      <c r="L27" s="380"/>
      <c r="Q27" s="285"/>
    </row>
    <row r="28" spans="1:17" s="184" customFormat="1" ht="18" customHeight="1" x14ac:dyDescent="0.3">
      <c r="A28" s="120"/>
      <c r="B28" s="286" t="s">
        <v>380</v>
      </c>
      <c r="C28" s="121" t="s">
        <v>33</v>
      </c>
      <c r="D28" s="122">
        <f>1.05</f>
        <v>1.05</v>
      </c>
      <c r="E28" s="122"/>
      <c r="F28" s="388"/>
      <c r="G28" s="388"/>
      <c r="H28" s="389"/>
      <c r="I28" s="389"/>
      <c r="J28" s="389"/>
      <c r="K28" s="389"/>
      <c r="L28" s="380"/>
      <c r="Q28" s="285"/>
    </row>
    <row r="29" spans="1:17" s="184" customFormat="1" ht="18" customHeight="1" x14ac:dyDescent="0.3">
      <c r="A29" s="120"/>
      <c r="B29" s="286" t="s">
        <v>38</v>
      </c>
      <c r="C29" s="121" t="s">
        <v>13</v>
      </c>
      <c r="D29" s="122">
        <v>7</v>
      </c>
      <c r="E29" s="122"/>
      <c r="F29" s="388"/>
      <c r="G29" s="388"/>
      <c r="H29" s="389"/>
      <c r="I29" s="389"/>
      <c r="J29" s="389"/>
      <c r="K29" s="389"/>
      <c r="L29" s="380"/>
      <c r="Q29" s="285"/>
    </row>
    <row r="30" spans="1:17" s="184" customFormat="1" ht="18" customHeight="1" x14ac:dyDescent="0.3">
      <c r="A30" s="120"/>
      <c r="B30" s="286" t="s">
        <v>39</v>
      </c>
      <c r="C30" s="121" t="s">
        <v>13</v>
      </c>
      <c r="D30" s="122">
        <v>0.15</v>
      </c>
      <c r="E30" s="122"/>
      <c r="F30" s="388"/>
      <c r="G30" s="388"/>
      <c r="H30" s="389"/>
      <c r="I30" s="389"/>
      <c r="J30" s="389"/>
      <c r="K30" s="389"/>
      <c r="L30" s="380"/>
      <c r="Q30" s="285"/>
    </row>
    <row r="31" spans="1:17" s="184" customFormat="1" ht="18" customHeight="1" thickBot="1" x14ac:dyDescent="0.35">
      <c r="A31" s="123"/>
      <c r="B31" s="381" t="s">
        <v>14</v>
      </c>
      <c r="C31" s="124" t="s">
        <v>15</v>
      </c>
      <c r="D31" s="125">
        <f>0.19</f>
        <v>0.19</v>
      </c>
      <c r="E31" s="125"/>
      <c r="F31" s="390"/>
      <c r="G31" s="411"/>
      <c r="H31" s="412"/>
      <c r="I31" s="412"/>
      <c r="J31" s="412"/>
      <c r="K31" s="412"/>
      <c r="L31" s="382"/>
      <c r="Q31" s="285"/>
    </row>
    <row r="32" spans="1:17" s="184" customFormat="1" ht="27.75" customHeight="1" x14ac:dyDescent="0.3">
      <c r="A32" s="119">
        <v>4</v>
      </c>
      <c r="B32" s="137" t="s">
        <v>382</v>
      </c>
      <c r="C32" s="287" t="s">
        <v>33</v>
      </c>
      <c r="D32" s="378"/>
      <c r="E32" s="392">
        <f>34+70+46</f>
        <v>150</v>
      </c>
      <c r="F32" s="385"/>
      <c r="G32" s="393"/>
      <c r="H32" s="393"/>
      <c r="I32" s="393"/>
      <c r="J32" s="393"/>
      <c r="K32" s="393"/>
      <c r="L32" s="379"/>
      <c r="Q32" s="285"/>
    </row>
    <row r="33" spans="1:17" s="184" customFormat="1" ht="18" customHeight="1" x14ac:dyDescent="0.3">
      <c r="A33" s="120"/>
      <c r="B33" s="286" t="s">
        <v>8</v>
      </c>
      <c r="C33" s="121" t="s">
        <v>33</v>
      </c>
      <c r="D33" s="122">
        <v>1</v>
      </c>
      <c r="E33" s="122"/>
      <c r="F33" s="388"/>
      <c r="G33" s="388"/>
      <c r="H33" s="389"/>
      <c r="I33" s="389"/>
      <c r="J33" s="389"/>
      <c r="K33" s="389"/>
      <c r="L33" s="380"/>
      <c r="Q33" s="285"/>
    </row>
    <row r="34" spans="1:17" s="184" customFormat="1" ht="18" customHeight="1" x14ac:dyDescent="0.3">
      <c r="A34" s="120"/>
      <c r="B34" s="286" t="s">
        <v>10</v>
      </c>
      <c r="C34" s="121" t="s">
        <v>15</v>
      </c>
      <c r="D34" s="122">
        <f>0.08</f>
        <v>0.08</v>
      </c>
      <c r="E34" s="122"/>
      <c r="F34" s="388"/>
      <c r="G34" s="388"/>
      <c r="H34" s="389"/>
      <c r="I34" s="389"/>
      <c r="J34" s="389"/>
      <c r="K34" s="389"/>
      <c r="L34" s="380"/>
      <c r="Q34" s="285"/>
    </row>
    <row r="35" spans="1:17" s="184" customFormat="1" ht="18" customHeight="1" x14ac:dyDescent="0.3">
      <c r="A35" s="120"/>
      <c r="B35" s="286" t="s">
        <v>12</v>
      </c>
      <c r="C35" s="121"/>
      <c r="D35" s="122"/>
      <c r="E35" s="122"/>
      <c r="F35" s="388"/>
      <c r="G35" s="388"/>
      <c r="H35" s="389"/>
      <c r="I35" s="389"/>
      <c r="J35" s="389"/>
      <c r="K35" s="389"/>
      <c r="L35" s="380"/>
      <c r="Q35" s="285"/>
    </row>
    <row r="36" spans="1:17" s="184" customFormat="1" ht="18" customHeight="1" x14ac:dyDescent="0.3">
      <c r="A36" s="120"/>
      <c r="B36" s="286" t="s">
        <v>378</v>
      </c>
      <c r="C36" s="121" t="s">
        <v>33</v>
      </c>
      <c r="D36" s="122">
        <f>1.05</f>
        <v>1.05</v>
      </c>
      <c r="E36" s="122"/>
      <c r="F36" s="388"/>
      <c r="G36" s="388"/>
      <c r="H36" s="389"/>
      <c r="I36" s="389"/>
      <c r="J36" s="389"/>
      <c r="K36" s="389"/>
      <c r="L36" s="380"/>
      <c r="Q36" s="285"/>
    </row>
    <row r="37" spans="1:17" s="184" customFormat="1" ht="18" customHeight="1" x14ac:dyDescent="0.3">
      <c r="A37" s="120"/>
      <c r="B37" s="286" t="s">
        <v>379</v>
      </c>
      <c r="C37" s="121" t="s">
        <v>33</v>
      </c>
      <c r="D37" s="122">
        <f>1.05</f>
        <v>1.05</v>
      </c>
      <c r="E37" s="122"/>
      <c r="F37" s="388"/>
      <c r="G37" s="388"/>
      <c r="H37" s="389"/>
      <c r="I37" s="389"/>
      <c r="J37" s="389"/>
      <c r="K37" s="389"/>
      <c r="L37" s="380"/>
      <c r="Q37" s="285"/>
    </row>
    <row r="38" spans="1:17" s="184" customFormat="1" ht="18" customHeight="1" x14ac:dyDescent="0.3">
      <c r="A38" s="120"/>
      <c r="B38" s="286" t="s">
        <v>380</v>
      </c>
      <c r="C38" s="121" t="s">
        <v>33</v>
      </c>
      <c r="D38" s="122">
        <f>1.05</f>
        <v>1.05</v>
      </c>
      <c r="E38" s="122"/>
      <c r="F38" s="388"/>
      <c r="G38" s="388"/>
      <c r="H38" s="389"/>
      <c r="I38" s="389"/>
      <c r="J38" s="389"/>
      <c r="K38" s="389"/>
      <c r="L38" s="380"/>
      <c r="Q38" s="285"/>
    </row>
    <row r="39" spans="1:17" s="184" customFormat="1" ht="18" customHeight="1" x14ac:dyDescent="0.3">
      <c r="A39" s="120"/>
      <c r="B39" s="286" t="s">
        <v>38</v>
      </c>
      <c r="C39" s="121" t="s">
        <v>13</v>
      </c>
      <c r="D39" s="122">
        <v>7</v>
      </c>
      <c r="E39" s="122"/>
      <c r="F39" s="388"/>
      <c r="G39" s="388"/>
      <c r="H39" s="389"/>
      <c r="I39" s="389"/>
      <c r="J39" s="389"/>
      <c r="K39" s="389"/>
      <c r="L39" s="380"/>
      <c r="Q39" s="285"/>
    </row>
    <row r="40" spans="1:17" s="184" customFormat="1" ht="18" customHeight="1" x14ac:dyDescent="0.3">
      <c r="A40" s="120"/>
      <c r="B40" s="286" t="s">
        <v>39</v>
      </c>
      <c r="C40" s="121" t="s">
        <v>13</v>
      </c>
      <c r="D40" s="122">
        <v>0.15</v>
      </c>
      <c r="E40" s="122"/>
      <c r="F40" s="388"/>
      <c r="G40" s="388"/>
      <c r="H40" s="389"/>
      <c r="I40" s="389"/>
      <c r="J40" s="389"/>
      <c r="K40" s="389"/>
      <c r="L40" s="380"/>
      <c r="Q40" s="285"/>
    </row>
    <row r="41" spans="1:17" s="184" customFormat="1" ht="18" customHeight="1" thickBot="1" x14ac:dyDescent="0.35">
      <c r="A41" s="123"/>
      <c r="B41" s="381" t="s">
        <v>14</v>
      </c>
      <c r="C41" s="124" t="s">
        <v>15</v>
      </c>
      <c r="D41" s="125">
        <f>0.19</f>
        <v>0.19</v>
      </c>
      <c r="E41" s="125"/>
      <c r="F41" s="411"/>
      <c r="G41" s="411"/>
      <c r="H41" s="412"/>
      <c r="I41" s="412"/>
      <c r="J41" s="412"/>
      <c r="K41" s="412"/>
      <c r="L41" s="382"/>
      <c r="Q41" s="285"/>
    </row>
    <row r="42" spans="1:17" s="184" customFormat="1" ht="24.75" customHeight="1" x14ac:dyDescent="0.3">
      <c r="A42" s="119">
        <v>5</v>
      </c>
      <c r="B42" s="413" t="s">
        <v>383</v>
      </c>
      <c r="C42" s="186" t="s">
        <v>28</v>
      </c>
      <c r="D42" s="187"/>
      <c r="E42" s="187">
        <f>88.8+68.2</f>
        <v>157</v>
      </c>
      <c r="F42" s="385"/>
      <c r="G42" s="385"/>
      <c r="H42" s="386"/>
      <c r="I42" s="386"/>
      <c r="J42" s="386"/>
      <c r="K42" s="386"/>
      <c r="L42" s="387"/>
      <c r="Q42" s="285"/>
    </row>
    <row r="43" spans="1:17" s="184" customFormat="1" ht="18" customHeight="1" x14ac:dyDescent="0.3">
      <c r="A43" s="120"/>
      <c r="B43" s="286" t="s">
        <v>8</v>
      </c>
      <c r="C43" s="121" t="s">
        <v>28</v>
      </c>
      <c r="D43" s="122">
        <v>1</v>
      </c>
      <c r="E43" s="122"/>
      <c r="F43" s="388"/>
      <c r="G43" s="388"/>
      <c r="H43" s="389"/>
      <c r="I43" s="389"/>
      <c r="J43" s="389"/>
      <c r="K43" s="389"/>
      <c r="L43" s="380"/>
      <c r="Q43" s="285"/>
    </row>
    <row r="44" spans="1:17" s="184" customFormat="1" ht="18" customHeight="1" x14ac:dyDescent="0.3">
      <c r="A44" s="272"/>
      <c r="B44" s="383" t="s">
        <v>10</v>
      </c>
      <c r="C44" s="273" t="s">
        <v>15</v>
      </c>
      <c r="D44" s="274">
        <v>1</v>
      </c>
      <c r="E44" s="274"/>
      <c r="F44" s="390"/>
      <c r="G44" s="390"/>
      <c r="H44" s="391"/>
      <c r="I44" s="391"/>
      <c r="J44" s="391"/>
      <c r="K44" s="391"/>
      <c r="L44" s="384"/>
      <c r="Q44" s="285"/>
    </row>
    <row r="45" spans="1:17" s="184" customFormat="1" ht="38.25" customHeight="1" x14ac:dyDescent="0.3">
      <c r="A45" s="120" t="s">
        <v>390</v>
      </c>
      <c r="B45" s="286" t="s">
        <v>413</v>
      </c>
      <c r="C45" s="121" t="s">
        <v>28</v>
      </c>
      <c r="D45" s="122"/>
      <c r="E45" s="122"/>
      <c r="F45" s="388"/>
      <c r="G45" s="388"/>
      <c r="H45" s="389"/>
      <c r="I45" s="389"/>
      <c r="J45" s="389"/>
      <c r="K45" s="389"/>
      <c r="L45" s="380"/>
      <c r="Q45" s="285"/>
    </row>
    <row r="46" spans="1:17" s="184" customFormat="1" ht="31.5" customHeight="1" x14ac:dyDescent="0.3">
      <c r="A46" s="120" t="s">
        <v>415</v>
      </c>
      <c r="B46" s="286" t="s">
        <v>414</v>
      </c>
      <c r="C46" s="121" t="s">
        <v>9</v>
      </c>
      <c r="D46" s="122"/>
      <c r="E46" s="122"/>
      <c r="F46" s="388"/>
      <c r="G46" s="388"/>
      <c r="H46" s="389"/>
      <c r="I46" s="389"/>
      <c r="J46" s="389"/>
      <c r="K46" s="389"/>
      <c r="L46" s="380"/>
      <c r="Q46" s="285"/>
    </row>
    <row r="47" spans="1:17" s="184" customFormat="1" ht="18" customHeight="1" x14ac:dyDescent="0.3">
      <c r="A47" s="120" t="s">
        <v>417</v>
      </c>
      <c r="B47" s="286" t="s">
        <v>416</v>
      </c>
      <c r="C47" s="121" t="s">
        <v>9</v>
      </c>
      <c r="D47" s="122"/>
      <c r="E47" s="122"/>
      <c r="F47" s="388"/>
      <c r="G47" s="388"/>
      <c r="H47" s="389"/>
      <c r="I47" s="389"/>
      <c r="J47" s="389"/>
      <c r="K47" s="389"/>
      <c r="L47" s="380"/>
      <c r="Q47" s="285"/>
    </row>
    <row r="48" spans="1:17" s="184" customFormat="1" ht="18" customHeight="1" x14ac:dyDescent="0.3">
      <c r="A48" s="120" t="s">
        <v>418</v>
      </c>
      <c r="B48" s="286" t="s">
        <v>419</v>
      </c>
      <c r="C48" s="121" t="s">
        <v>9</v>
      </c>
      <c r="D48" s="122"/>
      <c r="E48" s="122"/>
      <c r="F48" s="388"/>
      <c r="G48" s="388"/>
      <c r="H48" s="389"/>
      <c r="I48" s="389"/>
      <c r="J48" s="389"/>
      <c r="K48" s="389"/>
      <c r="L48" s="380"/>
      <c r="Q48" s="285"/>
    </row>
    <row r="49" spans="1:17" s="184" customFormat="1" ht="18" customHeight="1" x14ac:dyDescent="0.3">
      <c r="A49" s="120" t="s">
        <v>420</v>
      </c>
      <c r="B49" s="286" t="s">
        <v>486</v>
      </c>
      <c r="C49" s="121" t="s">
        <v>28</v>
      </c>
      <c r="D49" s="122"/>
      <c r="E49" s="122"/>
      <c r="F49" s="388"/>
      <c r="G49" s="388"/>
      <c r="H49" s="389"/>
      <c r="I49" s="389"/>
      <c r="J49" s="389"/>
      <c r="K49" s="389"/>
      <c r="L49" s="380"/>
      <c r="Q49" s="285"/>
    </row>
    <row r="50" spans="1:17" s="184" customFormat="1" ht="26.4" x14ac:dyDescent="0.3">
      <c r="A50" s="120" t="s">
        <v>421</v>
      </c>
      <c r="B50" s="286" t="s">
        <v>422</v>
      </c>
      <c r="C50" s="121" t="s">
        <v>9</v>
      </c>
      <c r="D50" s="122"/>
      <c r="E50" s="122"/>
      <c r="F50" s="388"/>
      <c r="G50" s="388"/>
      <c r="H50" s="389"/>
      <c r="I50" s="389"/>
      <c r="J50" s="389"/>
      <c r="K50" s="389"/>
      <c r="L50" s="380"/>
      <c r="Q50" s="285"/>
    </row>
    <row r="51" spans="1:17" s="184" customFormat="1" ht="32.25" customHeight="1" x14ac:dyDescent="0.3">
      <c r="A51" s="120" t="s">
        <v>423</v>
      </c>
      <c r="B51" s="286" t="s">
        <v>384</v>
      </c>
      <c r="C51" s="121" t="s">
        <v>9</v>
      </c>
      <c r="D51" s="122"/>
      <c r="E51" s="122"/>
      <c r="F51" s="388"/>
      <c r="G51" s="388"/>
      <c r="H51" s="389"/>
      <c r="I51" s="389"/>
      <c r="J51" s="389"/>
      <c r="K51" s="389"/>
      <c r="L51" s="380"/>
      <c r="Q51" s="285"/>
    </row>
    <row r="52" spans="1:17" s="184" customFormat="1" ht="36.75" customHeight="1" x14ac:dyDescent="0.3">
      <c r="A52" s="120" t="s">
        <v>424</v>
      </c>
      <c r="B52" s="286" t="s">
        <v>385</v>
      </c>
      <c r="C52" s="121" t="s">
        <v>9</v>
      </c>
      <c r="D52" s="122"/>
      <c r="E52" s="122"/>
      <c r="F52" s="388"/>
      <c r="G52" s="388"/>
      <c r="H52" s="389"/>
      <c r="I52" s="389"/>
      <c r="J52" s="389"/>
      <c r="K52" s="389"/>
      <c r="L52" s="380"/>
      <c r="Q52" s="285"/>
    </row>
    <row r="53" spans="1:17" s="184" customFormat="1" ht="27.6" x14ac:dyDescent="0.3">
      <c r="A53" s="120" t="s">
        <v>427</v>
      </c>
      <c r="B53" s="286" t="s">
        <v>386</v>
      </c>
      <c r="C53" s="121" t="s">
        <v>9</v>
      </c>
      <c r="D53" s="122"/>
      <c r="E53" s="122"/>
      <c r="F53" s="388"/>
      <c r="G53" s="388"/>
      <c r="H53" s="389"/>
      <c r="I53" s="389"/>
      <c r="J53" s="389"/>
      <c r="K53" s="389"/>
      <c r="L53" s="380"/>
      <c r="Q53" s="285"/>
    </row>
    <row r="54" spans="1:17" s="184" customFormat="1" ht="26.4" x14ac:dyDescent="0.3">
      <c r="A54" s="120" t="s">
        <v>425</v>
      </c>
      <c r="B54" s="286" t="s">
        <v>387</v>
      </c>
      <c r="C54" s="121" t="s">
        <v>9</v>
      </c>
      <c r="D54" s="122"/>
      <c r="E54" s="122"/>
      <c r="F54" s="388"/>
      <c r="G54" s="388"/>
      <c r="H54" s="389"/>
      <c r="I54" s="389"/>
      <c r="J54" s="389"/>
      <c r="K54" s="389"/>
      <c r="L54" s="380"/>
      <c r="Q54" s="285"/>
    </row>
    <row r="55" spans="1:17" s="184" customFormat="1" ht="27.6" x14ac:dyDescent="0.3">
      <c r="A55" s="120" t="s">
        <v>428</v>
      </c>
      <c r="B55" s="286" t="s">
        <v>388</v>
      </c>
      <c r="C55" s="121" t="s">
        <v>9</v>
      </c>
      <c r="D55" s="122"/>
      <c r="E55" s="122"/>
      <c r="F55" s="388"/>
      <c r="G55" s="388"/>
      <c r="H55" s="389"/>
      <c r="I55" s="389"/>
      <c r="J55" s="389"/>
      <c r="K55" s="389"/>
      <c r="L55" s="380"/>
      <c r="Q55" s="285"/>
    </row>
    <row r="56" spans="1:17" s="184" customFormat="1" ht="33.75" customHeight="1" thickBot="1" x14ac:dyDescent="0.35">
      <c r="A56" s="123" t="s">
        <v>426</v>
      </c>
      <c r="B56" s="381" t="s">
        <v>389</v>
      </c>
      <c r="C56" s="124" t="s">
        <v>9</v>
      </c>
      <c r="D56" s="125"/>
      <c r="E56" s="125"/>
      <c r="F56" s="411"/>
      <c r="G56" s="411"/>
      <c r="H56" s="412"/>
      <c r="I56" s="412"/>
      <c r="J56" s="412"/>
      <c r="K56" s="412"/>
      <c r="L56" s="380"/>
      <c r="Q56" s="285"/>
    </row>
    <row r="57" spans="1:17" s="184" customFormat="1" ht="26.25" customHeight="1" x14ac:dyDescent="0.3">
      <c r="A57" s="119">
        <v>6</v>
      </c>
      <c r="B57" s="137" t="s">
        <v>429</v>
      </c>
      <c r="C57" s="287" t="s">
        <v>33</v>
      </c>
      <c r="D57" s="378"/>
      <c r="E57" s="392">
        <v>180</v>
      </c>
      <c r="F57" s="385"/>
      <c r="G57" s="393"/>
      <c r="H57" s="393"/>
      <c r="I57" s="393"/>
      <c r="J57" s="393"/>
      <c r="K57" s="393"/>
      <c r="L57" s="379"/>
      <c r="Q57" s="285"/>
    </row>
    <row r="58" spans="1:17" s="184" customFormat="1" ht="18" customHeight="1" x14ac:dyDescent="0.3">
      <c r="A58" s="120"/>
      <c r="B58" s="286" t="s">
        <v>8</v>
      </c>
      <c r="C58" s="121" t="s">
        <v>33</v>
      </c>
      <c r="D58" s="122">
        <v>1</v>
      </c>
      <c r="E58" s="122"/>
      <c r="F58" s="388"/>
      <c r="G58" s="388"/>
      <c r="H58" s="389"/>
      <c r="I58" s="389"/>
      <c r="J58" s="389"/>
      <c r="K58" s="389"/>
      <c r="L58" s="380"/>
      <c r="Q58" s="285"/>
    </row>
    <row r="59" spans="1:17" s="184" customFormat="1" ht="18" customHeight="1" x14ac:dyDescent="0.3">
      <c r="A59" s="120"/>
      <c r="B59" s="286" t="s">
        <v>12</v>
      </c>
      <c r="C59" s="121"/>
      <c r="D59" s="122"/>
      <c r="E59" s="122"/>
      <c r="F59" s="388"/>
      <c r="G59" s="388"/>
      <c r="H59" s="389"/>
      <c r="I59" s="389"/>
      <c r="J59" s="389"/>
      <c r="K59" s="389"/>
      <c r="L59" s="380"/>
      <c r="Q59" s="285"/>
    </row>
    <row r="60" spans="1:17" s="184" customFormat="1" ht="18" customHeight="1" x14ac:dyDescent="0.3">
      <c r="A60" s="120"/>
      <c r="B60" s="286" t="s">
        <v>430</v>
      </c>
      <c r="C60" s="121" t="s">
        <v>13</v>
      </c>
      <c r="D60" s="122">
        <v>0.25</v>
      </c>
      <c r="E60" s="122"/>
      <c r="F60" s="388"/>
      <c r="G60" s="388"/>
      <c r="H60" s="389"/>
      <c r="I60" s="389"/>
      <c r="J60" s="389"/>
      <c r="K60" s="389"/>
      <c r="L60" s="380"/>
      <c r="Q60" s="285"/>
    </row>
    <row r="61" spans="1:17" s="158" customFormat="1" thickBot="1" x14ac:dyDescent="0.35">
      <c r="A61" s="198"/>
      <c r="B61" s="98" t="s">
        <v>14</v>
      </c>
      <c r="C61" s="141" t="s">
        <v>15</v>
      </c>
      <c r="D61" s="168">
        <v>0.5</v>
      </c>
      <c r="E61" s="168"/>
      <c r="F61" s="504"/>
      <c r="G61" s="169"/>
      <c r="H61" s="170"/>
      <c r="I61" s="170"/>
      <c r="J61" s="170"/>
      <c r="K61" s="170"/>
      <c r="L61" s="171"/>
    </row>
    <row r="62" spans="1:17" ht="13.95" customHeight="1" thickBot="1" x14ac:dyDescent="0.35">
      <c r="A62" s="263"/>
      <c r="B62" s="264" t="s">
        <v>6</v>
      </c>
      <c r="C62" s="264"/>
      <c r="D62" s="264"/>
      <c r="E62" s="264"/>
      <c r="F62" s="264"/>
      <c r="G62" s="265">
        <f>SUM(G12:G61)</f>
        <v>0</v>
      </c>
      <c r="H62" s="265"/>
      <c r="I62" s="265">
        <f t="shared" ref="I62:L62" si="0">SUM(I12:I61)</f>
        <v>0</v>
      </c>
      <c r="J62" s="265"/>
      <c r="K62" s="265">
        <f t="shared" si="0"/>
        <v>0</v>
      </c>
      <c r="L62" s="265">
        <f t="shared" si="0"/>
        <v>0</v>
      </c>
    </row>
    <row r="63" spans="1:17" x14ac:dyDescent="0.3">
      <c r="A63" s="256"/>
      <c r="B63" s="257" t="s">
        <v>128</v>
      </c>
      <c r="C63" s="258"/>
      <c r="D63" s="257"/>
      <c r="E63" s="257"/>
      <c r="F63" s="257"/>
      <c r="G63" s="257"/>
      <c r="H63" s="257"/>
      <c r="I63" s="257"/>
      <c r="J63" s="257"/>
      <c r="K63" s="257"/>
      <c r="L63" s="266">
        <f>L62*C63</f>
        <v>0</v>
      </c>
    </row>
    <row r="64" spans="1:17" x14ac:dyDescent="0.3">
      <c r="A64" s="259"/>
      <c r="B64" s="219" t="s">
        <v>6</v>
      </c>
      <c r="C64" s="60"/>
      <c r="D64" s="219"/>
      <c r="E64" s="219"/>
      <c r="F64" s="219"/>
      <c r="G64" s="219"/>
      <c r="H64" s="219"/>
      <c r="I64" s="219"/>
      <c r="J64" s="219"/>
      <c r="K64" s="219"/>
      <c r="L64" s="267">
        <f>L63+L62</f>
        <v>0</v>
      </c>
    </row>
    <row r="65" spans="1:12" x14ac:dyDescent="0.3">
      <c r="A65" s="259"/>
      <c r="B65" s="219" t="s">
        <v>154</v>
      </c>
      <c r="C65" s="18"/>
      <c r="D65" s="219"/>
      <c r="E65" s="219"/>
      <c r="F65" s="219"/>
      <c r="G65" s="219"/>
      <c r="H65" s="219"/>
      <c r="I65" s="219"/>
      <c r="J65" s="219"/>
      <c r="K65" s="219"/>
      <c r="L65" s="267">
        <f>L64*C65</f>
        <v>0</v>
      </c>
    </row>
    <row r="66" spans="1:12" x14ac:dyDescent="0.3">
      <c r="A66" s="259"/>
      <c r="B66" s="219" t="s">
        <v>6</v>
      </c>
      <c r="C66" s="18"/>
      <c r="D66" s="219"/>
      <c r="E66" s="219"/>
      <c r="F66" s="219"/>
      <c r="G66" s="219"/>
      <c r="H66" s="219"/>
      <c r="I66" s="219"/>
      <c r="J66" s="219"/>
      <c r="K66" s="219"/>
      <c r="L66" s="267">
        <f>L65+L64</f>
        <v>0</v>
      </c>
    </row>
    <row r="67" spans="1:12" x14ac:dyDescent="0.3">
      <c r="A67" s="259"/>
      <c r="B67" s="219" t="s">
        <v>17</v>
      </c>
      <c r="C67" s="18"/>
      <c r="D67" s="219"/>
      <c r="E67" s="219"/>
      <c r="F67" s="219"/>
      <c r="G67" s="219"/>
      <c r="H67" s="219"/>
      <c r="I67" s="219"/>
      <c r="J67" s="219"/>
      <c r="K67" s="219"/>
      <c r="L67" s="267">
        <f>C67*L66</f>
        <v>0</v>
      </c>
    </row>
    <row r="68" spans="1:12" x14ac:dyDescent="0.3">
      <c r="A68" s="259"/>
      <c r="B68" s="219" t="s">
        <v>6</v>
      </c>
      <c r="C68" s="18"/>
      <c r="D68" s="219"/>
      <c r="E68" s="219"/>
      <c r="F68" s="219"/>
      <c r="G68" s="219"/>
      <c r="H68" s="219"/>
      <c r="I68" s="219"/>
      <c r="J68" s="219"/>
      <c r="K68" s="219"/>
      <c r="L68" s="267">
        <f>L67+L66</f>
        <v>0</v>
      </c>
    </row>
    <row r="69" spans="1:12" x14ac:dyDescent="0.3">
      <c r="A69" s="259"/>
      <c r="B69" s="219" t="s">
        <v>18</v>
      </c>
      <c r="C69" s="18"/>
      <c r="D69" s="219"/>
      <c r="E69" s="219"/>
      <c r="F69" s="219"/>
      <c r="G69" s="219"/>
      <c r="H69" s="219"/>
      <c r="I69" s="219"/>
      <c r="J69" s="219"/>
      <c r="K69" s="219"/>
      <c r="L69" s="267">
        <f>L68*C69</f>
        <v>0</v>
      </c>
    </row>
    <row r="70" spans="1:12" x14ac:dyDescent="0.3">
      <c r="A70" s="259"/>
      <c r="B70" s="219" t="s">
        <v>6</v>
      </c>
      <c r="C70" s="29"/>
      <c r="D70" s="219"/>
      <c r="E70" s="219"/>
      <c r="F70" s="219"/>
      <c r="G70" s="219"/>
      <c r="H70" s="219"/>
      <c r="I70" s="219"/>
      <c r="J70" s="219"/>
      <c r="K70" s="219"/>
      <c r="L70" s="544">
        <f>L69+L68</f>
        <v>0</v>
      </c>
    </row>
    <row r="71" spans="1:12" ht="15" thickBot="1" x14ac:dyDescent="0.35">
      <c r="A71" s="260"/>
      <c r="B71" s="261" t="s">
        <v>19</v>
      </c>
      <c r="C71" s="262">
        <v>0.18</v>
      </c>
      <c r="D71" s="261"/>
      <c r="E71" s="261"/>
      <c r="F71" s="261"/>
      <c r="G71" s="261"/>
      <c r="H71" s="261"/>
      <c r="I71" s="261"/>
      <c r="J71" s="261"/>
      <c r="K71" s="261"/>
      <c r="L71" s="546">
        <f>L70*C71</f>
        <v>0</v>
      </c>
    </row>
    <row r="72" spans="1:12" ht="15" thickBot="1" x14ac:dyDescent="0.35">
      <c r="A72" s="263"/>
      <c r="B72" s="264" t="s">
        <v>6</v>
      </c>
      <c r="C72" s="264"/>
      <c r="D72" s="264"/>
      <c r="E72" s="264"/>
      <c r="F72" s="264"/>
      <c r="G72" s="264"/>
      <c r="H72" s="264"/>
      <c r="I72" s="264"/>
      <c r="J72" s="264"/>
      <c r="K72" s="264"/>
      <c r="L72" s="547">
        <f>L71+L70</f>
        <v>0</v>
      </c>
    </row>
  </sheetData>
  <mergeCells count="17">
    <mergeCell ref="A7:B7"/>
    <mergeCell ref="K8:L8"/>
    <mergeCell ref="A9:A10"/>
    <mergeCell ref="B9:B10"/>
    <mergeCell ref="C9:C10"/>
    <mergeCell ref="D9:E9"/>
    <mergeCell ref="F9:G9"/>
    <mergeCell ref="H9:I9"/>
    <mergeCell ref="J9:K9"/>
    <mergeCell ref="L9:L10"/>
    <mergeCell ref="A6:B6"/>
    <mergeCell ref="K6:L6"/>
    <mergeCell ref="A1:L1"/>
    <mergeCell ref="A2:L2"/>
    <mergeCell ref="A3:L3"/>
    <mergeCell ref="H5:J5"/>
    <mergeCell ref="K5:L5"/>
  </mergeCells>
  <phoneticPr fontId="5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78989-D2D8-4BB0-ABEC-D3653D010264}">
  <dimension ref="A1:Q60"/>
  <sheetViews>
    <sheetView topLeftCell="A46" workbookViewId="0">
      <selection activeCell="L58" sqref="L58:L60"/>
    </sheetView>
  </sheetViews>
  <sheetFormatPr defaultColWidth="9.109375" defaultRowHeight="14.4" x14ac:dyDescent="0.3"/>
  <cols>
    <col min="1" max="1" width="8.33203125" customWidth="1"/>
    <col min="2" max="2" width="43.88671875" customWidth="1"/>
    <col min="3" max="3" width="10.109375" customWidth="1"/>
    <col min="4" max="4" width="9.33203125" bestFit="1" customWidth="1"/>
    <col min="5" max="5" width="9.88671875" bestFit="1" customWidth="1"/>
    <col min="6" max="6" width="9.5546875" bestFit="1" customWidth="1"/>
    <col min="7" max="7" width="11.33203125" bestFit="1" customWidth="1"/>
    <col min="8" max="8" width="9.5546875" bestFit="1" customWidth="1"/>
    <col min="9" max="9" width="10.6640625" bestFit="1" customWidth="1"/>
    <col min="10" max="10" width="9.33203125" bestFit="1" customWidth="1"/>
    <col min="11" max="11" width="10.109375" customWidth="1"/>
    <col min="12" max="12" width="14.88671875" customWidth="1"/>
    <col min="13" max="13" width="26.88671875" customWidth="1"/>
    <col min="14" max="14" width="10.88671875" customWidth="1"/>
    <col min="17" max="17" width="12" customWidth="1"/>
  </cols>
  <sheetData>
    <row r="1" spans="1:12" s="1" customFormat="1" ht="15.6" x14ac:dyDescent="0.3">
      <c r="A1" s="676" t="s">
        <v>239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  <c r="L1" s="676"/>
    </row>
    <row r="2" spans="1:12" s="1" customFormat="1" ht="15.6" x14ac:dyDescent="0.3">
      <c r="A2" s="676" t="s">
        <v>146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</row>
    <row r="3" spans="1:12" s="1" customFormat="1" x14ac:dyDescent="0.3">
      <c r="A3" s="677"/>
      <c r="B3" s="677"/>
      <c r="C3" s="677"/>
      <c r="D3" s="677"/>
      <c r="E3" s="678"/>
      <c r="F3" s="677"/>
      <c r="G3" s="677"/>
      <c r="H3" s="677"/>
      <c r="I3" s="677"/>
      <c r="J3" s="677"/>
      <c r="K3" s="677"/>
      <c r="L3" s="677"/>
    </row>
    <row r="4" spans="1:12" s="6" customFormat="1" thickBot="1" x14ac:dyDescent="0.35">
      <c r="A4" s="2"/>
      <c r="B4" s="3"/>
      <c r="C4" s="2"/>
      <c r="D4" s="4"/>
      <c r="E4" s="89"/>
      <c r="F4" s="4"/>
      <c r="G4" s="5"/>
      <c r="H4" s="5"/>
      <c r="I4" s="5"/>
      <c r="J4" s="5"/>
      <c r="K4" s="5"/>
      <c r="L4" s="5"/>
    </row>
    <row r="5" spans="1:12" s="6" customFormat="1" thickBot="1" x14ac:dyDescent="0.35">
      <c r="A5" s="7"/>
      <c r="B5" s="7"/>
      <c r="C5" s="7"/>
      <c r="D5" s="7"/>
      <c r="E5" s="90"/>
      <c r="F5" s="4"/>
      <c r="G5" s="5"/>
      <c r="H5" s="679" t="s">
        <v>0</v>
      </c>
      <c r="I5" s="679"/>
      <c r="J5" s="679"/>
      <c r="K5" s="674">
        <f>L60</f>
        <v>0</v>
      </c>
      <c r="L5" s="675"/>
    </row>
    <row r="6" spans="1:12" s="6" customFormat="1" thickBot="1" x14ac:dyDescent="0.35">
      <c r="A6" s="682"/>
      <c r="B6" s="682"/>
      <c r="C6" s="8"/>
      <c r="D6" s="9"/>
      <c r="E6" s="89"/>
      <c r="F6" s="4"/>
      <c r="G6" s="5"/>
      <c r="H6" s="5"/>
      <c r="I6" s="5"/>
      <c r="J6" s="5"/>
      <c r="K6" s="683">
        <f>K5/K8</f>
        <v>0</v>
      </c>
      <c r="L6" s="684"/>
    </row>
    <row r="7" spans="1:12" s="6" customFormat="1" ht="13.8" x14ac:dyDescent="0.3">
      <c r="A7" s="682"/>
      <c r="B7" s="682"/>
      <c r="C7" s="2"/>
      <c r="D7" s="4"/>
      <c r="E7" s="89"/>
      <c r="F7" s="4"/>
      <c r="G7" s="5"/>
      <c r="H7" s="5"/>
      <c r="I7" s="5"/>
      <c r="J7" s="5"/>
      <c r="K7" s="5"/>
      <c r="L7" s="5"/>
    </row>
    <row r="8" spans="1:12" s="6" customFormat="1" thickBot="1" x14ac:dyDescent="0.35">
      <c r="A8" s="2"/>
      <c r="B8" s="3"/>
      <c r="C8" s="2"/>
      <c r="D8" s="4"/>
      <c r="E8" s="89"/>
      <c r="F8" s="4"/>
      <c r="G8" s="5"/>
      <c r="H8" s="5"/>
      <c r="I8" s="5"/>
      <c r="J8" s="5" t="s">
        <v>1</v>
      </c>
      <c r="K8" s="685">
        <v>2.62</v>
      </c>
      <c r="L8" s="685"/>
    </row>
    <row r="9" spans="1:12" s="101" customFormat="1" ht="42" customHeight="1" x14ac:dyDescent="0.3">
      <c r="A9" s="693" t="s">
        <v>20</v>
      </c>
      <c r="B9" s="691" t="s">
        <v>21</v>
      </c>
      <c r="C9" s="691" t="s">
        <v>22</v>
      </c>
      <c r="D9" s="691" t="s">
        <v>23</v>
      </c>
      <c r="E9" s="691"/>
      <c r="F9" s="688" t="s">
        <v>4</v>
      </c>
      <c r="G9" s="688"/>
      <c r="H9" s="688" t="s">
        <v>5</v>
      </c>
      <c r="I9" s="688"/>
      <c r="J9" s="688" t="s">
        <v>24</v>
      </c>
      <c r="K9" s="688"/>
      <c r="L9" s="689" t="s">
        <v>6</v>
      </c>
    </row>
    <row r="10" spans="1:12" s="101" customFormat="1" ht="81.75" customHeight="1" x14ac:dyDescent="0.3">
      <c r="A10" s="694"/>
      <c r="B10" s="692"/>
      <c r="C10" s="692"/>
      <c r="D10" s="81" t="s">
        <v>25</v>
      </c>
      <c r="E10" s="81" t="s">
        <v>3</v>
      </c>
      <c r="F10" s="81" t="s">
        <v>26</v>
      </c>
      <c r="G10" s="81" t="s">
        <v>6</v>
      </c>
      <c r="H10" s="81" t="s">
        <v>26</v>
      </c>
      <c r="I10" s="81" t="s">
        <v>6</v>
      </c>
      <c r="J10" s="81" t="s">
        <v>26</v>
      </c>
      <c r="K10" s="81" t="s">
        <v>6</v>
      </c>
      <c r="L10" s="690"/>
    </row>
    <row r="11" spans="1:12" s="48" customFormat="1" ht="13.95" customHeight="1" thickBot="1" x14ac:dyDescent="0.35">
      <c r="A11" s="42">
        <v>1</v>
      </c>
      <c r="B11" s="43">
        <v>2</v>
      </c>
      <c r="C11" s="43">
        <v>3</v>
      </c>
      <c r="D11" s="43">
        <v>4</v>
      </c>
      <c r="E11" s="127">
        <v>5</v>
      </c>
      <c r="F11" s="128">
        <v>6</v>
      </c>
      <c r="G11" s="129">
        <v>7</v>
      </c>
      <c r="H11" s="129">
        <v>8</v>
      </c>
      <c r="I11" s="129">
        <v>9</v>
      </c>
      <c r="J11" s="129">
        <v>10</v>
      </c>
      <c r="K11" s="129">
        <v>11</v>
      </c>
      <c r="L11" s="130">
        <v>12</v>
      </c>
    </row>
    <row r="12" spans="1:12" s="158" customFormat="1" ht="27.75" customHeight="1" x14ac:dyDescent="0.3">
      <c r="A12" s="194">
        <v>1</v>
      </c>
      <c r="B12" s="137" t="s">
        <v>318</v>
      </c>
      <c r="C12" s="134" t="s">
        <v>28</v>
      </c>
      <c r="D12" s="161"/>
      <c r="E12" s="162">
        <v>67</v>
      </c>
      <c r="F12" s="163"/>
      <c r="G12" s="163"/>
      <c r="H12" s="163"/>
      <c r="I12" s="163"/>
      <c r="J12" s="163"/>
      <c r="K12" s="163"/>
      <c r="L12" s="164"/>
    </row>
    <row r="13" spans="1:12" s="158" customFormat="1" ht="13.8" x14ac:dyDescent="0.3">
      <c r="A13" s="78"/>
      <c r="B13" s="24" t="s">
        <v>8</v>
      </c>
      <c r="C13" s="79" t="s">
        <v>28</v>
      </c>
      <c r="D13" s="159">
        <v>1</v>
      </c>
      <c r="E13" s="159"/>
      <c r="F13" s="165"/>
      <c r="G13" s="165"/>
      <c r="H13" s="165"/>
      <c r="I13" s="165"/>
      <c r="J13" s="165"/>
      <c r="K13" s="165"/>
      <c r="L13" s="160"/>
    </row>
    <row r="14" spans="1:12" s="158" customFormat="1" ht="13.8" x14ac:dyDescent="0.3">
      <c r="A14" s="78"/>
      <c r="B14" s="24" t="s">
        <v>10</v>
      </c>
      <c r="C14" s="79" t="s">
        <v>15</v>
      </c>
      <c r="D14" s="159">
        <v>1</v>
      </c>
      <c r="E14" s="159"/>
      <c r="F14" s="165"/>
      <c r="G14" s="165"/>
      <c r="H14" s="165"/>
      <c r="I14" s="165"/>
      <c r="J14" s="58"/>
      <c r="K14" s="165"/>
      <c r="L14" s="160"/>
    </row>
    <row r="15" spans="1:12" s="158" customFormat="1" ht="13.8" x14ac:dyDescent="0.3">
      <c r="A15" s="78"/>
      <c r="B15" s="24" t="s">
        <v>319</v>
      </c>
      <c r="C15" s="79" t="s">
        <v>28</v>
      </c>
      <c r="D15" s="159">
        <v>2.8</v>
      </c>
      <c r="E15" s="159"/>
      <c r="F15" s="165"/>
      <c r="G15" s="165"/>
      <c r="H15" s="165"/>
      <c r="I15" s="165"/>
      <c r="J15" s="165"/>
      <c r="K15" s="165"/>
      <c r="L15" s="160"/>
    </row>
    <row r="16" spans="1:12" s="158" customFormat="1" ht="13.8" x14ac:dyDescent="0.3">
      <c r="A16" s="78"/>
      <c r="B16" s="24" t="s">
        <v>320</v>
      </c>
      <c r="C16" s="79" t="s">
        <v>28</v>
      </c>
      <c r="D16" s="159">
        <v>10.7</v>
      </c>
      <c r="E16" s="159"/>
      <c r="F16" s="166"/>
      <c r="G16" s="165"/>
      <c r="H16" s="165"/>
      <c r="I16" s="165"/>
      <c r="J16" s="165"/>
      <c r="K16" s="165"/>
      <c r="L16" s="160"/>
    </row>
    <row r="17" spans="1:12" s="158" customFormat="1" ht="13.8" x14ac:dyDescent="0.3">
      <c r="A17" s="296"/>
      <c r="B17" s="24" t="s">
        <v>321</v>
      </c>
      <c r="C17" s="79" t="s">
        <v>9</v>
      </c>
      <c r="D17" s="159"/>
      <c r="E17" s="159"/>
      <c r="F17" s="58"/>
      <c r="G17" s="166"/>
      <c r="H17" s="165"/>
      <c r="I17" s="165"/>
      <c r="J17" s="165"/>
      <c r="K17" s="165"/>
      <c r="L17" s="160"/>
    </row>
    <row r="18" spans="1:12" s="158" customFormat="1" thickBot="1" x14ac:dyDescent="0.35">
      <c r="A18" s="288"/>
      <c r="B18" s="289" t="s">
        <v>14</v>
      </c>
      <c r="C18" s="290" t="s">
        <v>15</v>
      </c>
      <c r="D18" s="291">
        <v>1</v>
      </c>
      <c r="E18" s="291"/>
      <c r="F18" s="292"/>
      <c r="G18" s="293"/>
      <c r="H18" s="294"/>
      <c r="I18" s="294"/>
      <c r="J18" s="294"/>
      <c r="K18" s="294"/>
      <c r="L18" s="295"/>
    </row>
    <row r="19" spans="1:12" s="158" customFormat="1" ht="27.75" customHeight="1" x14ac:dyDescent="0.3">
      <c r="A19" s="194">
        <v>2</v>
      </c>
      <c r="B19" s="137" t="s">
        <v>322</v>
      </c>
      <c r="C19" s="134" t="s">
        <v>28</v>
      </c>
      <c r="D19" s="161"/>
      <c r="E19" s="162">
        <v>107.8</v>
      </c>
      <c r="F19" s="163"/>
      <c r="G19" s="163"/>
      <c r="H19" s="163"/>
      <c r="I19" s="163"/>
      <c r="J19" s="163"/>
      <c r="K19" s="163"/>
      <c r="L19" s="164"/>
    </row>
    <row r="20" spans="1:12" s="158" customFormat="1" ht="13.8" x14ac:dyDescent="0.3">
      <c r="A20" s="78"/>
      <c r="B20" s="24" t="s">
        <v>8</v>
      </c>
      <c r="C20" s="79" t="s">
        <v>28</v>
      </c>
      <c r="D20" s="159">
        <v>1</v>
      </c>
      <c r="E20" s="159"/>
      <c r="F20" s="165"/>
      <c r="G20" s="165"/>
      <c r="H20" s="165"/>
      <c r="I20" s="165"/>
      <c r="J20" s="165"/>
      <c r="K20" s="165"/>
      <c r="L20" s="160"/>
    </row>
    <row r="21" spans="1:12" s="158" customFormat="1" ht="13.8" x14ac:dyDescent="0.3">
      <c r="A21" s="78"/>
      <c r="B21" s="24" t="s">
        <v>10</v>
      </c>
      <c r="C21" s="79" t="s">
        <v>15</v>
      </c>
      <c r="D21" s="159">
        <v>1</v>
      </c>
      <c r="E21" s="159"/>
      <c r="F21" s="165"/>
      <c r="G21" s="165"/>
      <c r="H21" s="165"/>
      <c r="I21" s="165"/>
      <c r="J21" s="58"/>
      <c r="K21" s="165"/>
      <c r="L21" s="160"/>
    </row>
    <row r="22" spans="1:12" s="158" customFormat="1" ht="13.8" x14ac:dyDescent="0.3">
      <c r="A22" s="78"/>
      <c r="B22" s="24" t="s">
        <v>327</v>
      </c>
      <c r="C22" s="79" t="s">
        <v>28</v>
      </c>
      <c r="D22" s="159">
        <f>1.52*2</f>
        <v>3.04</v>
      </c>
      <c r="E22" s="159"/>
      <c r="F22" s="165"/>
      <c r="G22" s="165"/>
      <c r="H22" s="165"/>
      <c r="I22" s="165"/>
      <c r="J22" s="165"/>
      <c r="K22" s="165"/>
      <c r="L22" s="160"/>
    </row>
    <row r="23" spans="1:12" s="158" customFormat="1" ht="13.8" x14ac:dyDescent="0.3">
      <c r="A23" s="78"/>
      <c r="B23" s="24" t="s">
        <v>320</v>
      </c>
      <c r="C23" s="79" t="s">
        <v>28</v>
      </c>
      <c r="D23" s="159">
        <f>16/1.52</f>
        <v>10.526315789473685</v>
      </c>
      <c r="E23" s="159"/>
      <c r="F23" s="166"/>
      <c r="G23" s="165"/>
      <c r="H23" s="165"/>
      <c r="I23" s="165"/>
      <c r="J23" s="165"/>
      <c r="K23" s="165"/>
      <c r="L23" s="160"/>
    </row>
    <row r="24" spans="1:12" s="158" customFormat="1" ht="13.8" x14ac:dyDescent="0.3">
      <c r="A24" s="296"/>
      <c r="B24" s="24" t="s">
        <v>321</v>
      </c>
      <c r="C24" s="79" t="s">
        <v>9</v>
      </c>
      <c r="D24" s="159">
        <v>1</v>
      </c>
      <c r="E24" s="159"/>
      <c r="F24" s="58"/>
      <c r="G24" s="166"/>
      <c r="H24" s="165"/>
      <c r="I24" s="165"/>
      <c r="J24" s="165"/>
      <c r="K24" s="165"/>
      <c r="L24" s="160"/>
    </row>
    <row r="25" spans="1:12" s="158" customFormat="1" thickBot="1" x14ac:dyDescent="0.35">
      <c r="A25" s="288"/>
      <c r="B25" s="289" t="s">
        <v>14</v>
      </c>
      <c r="C25" s="290" t="s">
        <v>15</v>
      </c>
      <c r="D25" s="291">
        <v>1</v>
      </c>
      <c r="E25" s="291"/>
      <c r="F25" s="292"/>
      <c r="G25" s="293"/>
      <c r="H25" s="294"/>
      <c r="I25" s="294"/>
      <c r="J25" s="294"/>
      <c r="K25" s="294"/>
      <c r="L25" s="295"/>
    </row>
    <row r="26" spans="1:12" s="158" customFormat="1" ht="27.75" customHeight="1" x14ac:dyDescent="0.3">
      <c r="A26" s="194">
        <v>3</v>
      </c>
      <c r="B26" s="137" t="s">
        <v>323</v>
      </c>
      <c r="C26" s="134" t="s">
        <v>28</v>
      </c>
      <c r="D26" s="161"/>
      <c r="E26" s="162">
        <v>47.6</v>
      </c>
      <c r="F26" s="163"/>
      <c r="G26" s="163"/>
      <c r="H26" s="163"/>
      <c r="I26" s="163"/>
      <c r="J26" s="163"/>
      <c r="K26" s="163"/>
      <c r="L26" s="164"/>
    </row>
    <row r="27" spans="1:12" s="158" customFormat="1" ht="13.8" x14ac:dyDescent="0.3">
      <c r="A27" s="78"/>
      <c r="B27" s="24" t="s">
        <v>8</v>
      </c>
      <c r="C27" s="79" t="s">
        <v>28</v>
      </c>
      <c r="D27" s="159">
        <v>1</v>
      </c>
      <c r="E27" s="159"/>
      <c r="F27" s="165"/>
      <c r="G27" s="165"/>
      <c r="H27" s="165"/>
      <c r="I27" s="165"/>
      <c r="J27" s="165"/>
      <c r="K27" s="165"/>
      <c r="L27" s="160"/>
    </row>
    <row r="28" spans="1:12" s="158" customFormat="1" ht="13.8" x14ac:dyDescent="0.3">
      <c r="A28" s="78"/>
      <c r="B28" s="24" t="s">
        <v>10</v>
      </c>
      <c r="C28" s="79" t="s">
        <v>15</v>
      </c>
      <c r="D28" s="159">
        <v>1</v>
      </c>
      <c r="E28" s="159"/>
      <c r="F28" s="165"/>
      <c r="G28" s="165"/>
      <c r="H28" s="165"/>
      <c r="I28" s="165"/>
      <c r="J28" s="58"/>
      <c r="K28" s="165"/>
      <c r="L28" s="160"/>
    </row>
    <row r="29" spans="1:12" s="158" customFormat="1" ht="13.8" x14ac:dyDescent="0.3">
      <c r="A29" s="78"/>
      <c r="B29" s="24" t="s">
        <v>327</v>
      </c>
      <c r="C29" s="79" t="s">
        <v>28</v>
      </c>
      <c r="D29" s="159"/>
      <c r="E29" s="159"/>
      <c r="F29" s="165"/>
      <c r="G29" s="165"/>
      <c r="H29" s="165"/>
      <c r="I29" s="165"/>
      <c r="J29" s="165"/>
      <c r="K29" s="165"/>
      <c r="L29" s="160"/>
    </row>
    <row r="30" spans="1:12" s="158" customFormat="1" ht="13.8" x14ac:dyDescent="0.3">
      <c r="A30" s="78"/>
      <c r="B30" s="24" t="s">
        <v>320</v>
      </c>
      <c r="C30" s="79" t="s">
        <v>28</v>
      </c>
      <c r="D30" s="159"/>
      <c r="E30" s="159"/>
      <c r="F30" s="166"/>
      <c r="G30" s="165"/>
      <c r="H30" s="165"/>
      <c r="I30" s="165"/>
      <c r="J30" s="165"/>
      <c r="K30" s="165"/>
      <c r="L30" s="160"/>
    </row>
    <row r="31" spans="1:12" s="158" customFormat="1" ht="13.8" x14ac:dyDescent="0.3">
      <c r="A31" s="296"/>
      <c r="B31" s="24" t="s">
        <v>321</v>
      </c>
      <c r="C31" s="79" t="s">
        <v>9</v>
      </c>
      <c r="D31" s="159">
        <v>1</v>
      </c>
      <c r="E31" s="159"/>
      <c r="F31" s="58"/>
      <c r="G31" s="166"/>
      <c r="H31" s="165"/>
      <c r="I31" s="165"/>
      <c r="J31" s="165"/>
      <c r="K31" s="165"/>
      <c r="L31" s="160"/>
    </row>
    <row r="32" spans="1:12" s="158" customFormat="1" ht="13.8" x14ac:dyDescent="0.3">
      <c r="A32" s="296"/>
      <c r="B32" s="24" t="s">
        <v>325</v>
      </c>
      <c r="C32" s="79" t="s">
        <v>28</v>
      </c>
      <c r="D32" s="159"/>
      <c r="E32" s="159"/>
      <c r="F32" s="58"/>
      <c r="G32" s="166"/>
      <c r="H32" s="165"/>
      <c r="I32" s="165"/>
      <c r="J32" s="165"/>
      <c r="K32" s="165"/>
      <c r="L32" s="160"/>
    </row>
    <row r="33" spans="1:17" s="158" customFormat="1" ht="27.6" x14ac:dyDescent="0.3">
      <c r="A33" s="78"/>
      <c r="B33" s="24" t="s">
        <v>326</v>
      </c>
      <c r="C33" s="79" t="s">
        <v>9</v>
      </c>
      <c r="D33" s="159"/>
      <c r="E33" s="159"/>
      <c r="F33" s="166"/>
      <c r="G33" s="165"/>
      <c r="H33" s="165"/>
      <c r="I33" s="165"/>
      <c r="J33" s="165"/>
      <c r="K33" s="165"/>
      <c r="L33" s="160"/>
    </row>
    <row r="34" spans="1:17" s="158" customFormat="1" thickBot="1" x14ac:dyDescent="0.35">
      <c r="A34" s="288"/>
      <c r="B34" s="289" t="s">
        <v>14</v>
      </c>
      <c r="C34" s="290" t="s">
        <v>15</v>
      </c>
      <c r="D34" s="291">
        <v>1</v>
      </c>
      <c r="E34" s="291"/>
      <c r="F34" s="292"/>
      <c r="G34" s="293"/>
      <c r="H34" s="294"/>
      <c r="I34" s="294"/>
      <c r="J34" s="294"/>
      <c r="K34" s="294"/>
      <c r="L34" s="295"/>
    </row>
    <row r="35" spans="1:17" s="158" customFormat="1" ht="27.75" customHeight="1" x14ac:dyDescent="0.3">
      <c r="A35" s="194">
        <v>3</v>
      </c>
      <c r="B35" s="137" t="s">
        <v>431</v>
      </c>
      <c r="C35" s="134" t="s">
        <v>28</v>
      </c>
      <c r="D35" s="161"/>
      <c r="E35" s="162">
        <v>143.08000000000001</v>
      </c>
      <c r="F35" s="163"/>
      <c r="G35" s="163"/>
      <c r="H35" s="163"/>
      <c r="I35" s="163"/>
      <c r="J35" s="163"/>
      <c r="K35" s="163"/>
      <c r="L35" s="164"/>
    </row>
    <row r="36" spans="1:17" s="158" customFormat="1" ht="13.8" x14ac:dyDescent="0.3">
      <c r="A36" s="78"/>
      <c r="B36" s="24" t="s">
        <v>8</v>
      </c>
      <c r="C36" s="79" t="s">
        <v>28</v>
      </c>
      <c r="D36" s="159">
        <v>1</v>
      </c>
      <c r="E36" s="159"/>
      <c r="F36" s="165"/>
      <c r="G36" s="165"/>
      <c r="H36" s="165"/>
      <c r="I36" s="165"/>
      <c r="J36" s="165"/>
      <c r="K36" s="165"/>
      <c r="L36" s="160"/>
    </row>
    <row r="37" spans="1:17" s="158" customFormat="1" ht="13.8" x14ac:dyDescent="0.3">
      <c r="A37" s="78"/>
      <c r="B37" s="24" t="s">
        <v>10</v>
      </c>
      <c r="C37" s="79" t="s">
        <v>15</v>
      </c>
      <c r="D37" s="159">
        <v>1</v>
      </c>
      <c r="E37" s="159"/>
      <c r="F37" s="165"/>
      <c r="G37" s="165"/>
      <c r="H37" s="165"/>
      <c r="I37" s="165"/>
      <c r="J37" s="58"/>
      <c r="K37" s="165"/>
      <c r="L37" s="160"/>
    </row>
    <row r="38" spans="1:17" s="158" customFormat="1" ht="13.8" x14ac:dyDescent="0.3">
      <c r="A38" s="78"/>
      <c r="B38" s="24" t="s">
        <v>327</v>
      </c>
      <c r="C38" s="79" t="s">
        <v>28</v>
      </c>
      <c r="D38" s="159"/>
      <c r="E38" s="159"/>
      <c r="F38" s="165"/>
      <c r="G38" s="165"/>
      <c r="H38" s="165"/>
      <c r="I38" s="165"/>
      <c r="J38" s="165"/>
      <c r="K38" s="165"/>
      <c r="L38" s="160"/>
    </row>
    <row r="39" spans="1:17" s="158" customFormat="1" ht="13.8" x14ac:dyDescent="0.3">
      <c r="A39" s="78"/>
      <c r="B39" s="24" t="s">
        <v>320</v>
      </c>
      <c r="C39" s="79" t="s">
        <v>28</v>
      </c>
      <c r="D39" s="159"/>
      <c r="E39" s="159"/>
      <c r="F39" s="166"/>
      <c r="G39" s="165"/>
      <c r="H39" s="165"/>
      <c r="I39" s="165"/>
      <c r="J39" s="165"/>
      <c r="K39" s="165"/>
      <c r="L39" s="160"/>
    </row>
    <row r="40" spans="1:17" s="158" customFormat="1" ht="13.8" x14ac:dyDescent="0.3">
      <c r="A40" s="296"/>
      <c r="B40" s="24" t="s">
        <v>321</v>
      </c>
      <c r="C40" s="79" t="s">
        <v>9</v>
      </c>
      <c r="D40" s="159">
        <v>1</v>
      </c>
      <c r="E40" s="159"/>
      <c r="F40" s="58"/>
      <c r="G40" s="166"/>
      <c r="H40" s="165"/>
      <c r="I40" s="165"/>
      <c r="J40" s="165"/>
      <c r="K40" s="165"/>
      <c r="L40" s="160"/>
    </row>
    <row r="41" spans="1:17" s="158" customFormat="1" ht="13.8" x14ac:dyDescent="0.3">
      <c r="A41" s="296"/>
      <c r="B41" s="24" t="s">
        <v>325</v>
      </c>
      <c r="C41" s="79" t="s">
        <v>28</v>
      </c>
      <c r="D41" s="159"/>
      <c r="E41" s="159"/>
      <c r="F41" s="58"/>
      <c r="G41" s="166"/>
      <c r="H41" s="165"/>
      <c r="I41" s="165"/>
      <c r="J41" s="165"/>
      <c r="K41" s="165"/>
      <c r="L41" s="160"/>
    </row>
    <row r="42" spans="1:17" s="158" customFormat="1" ht="27.6" x14ac:dyDescent="0.3">
      <c r="A42" s="78"/>
      <c r="B42" s="24" t="s">
        <v>326</v>
      </c>
      <c r="C42" s="79" t="s">
        <v>9</v>
      </c>
      <c r="D42" s="159"/>
      <c r="E42" s="159"/>
      <c r="F42" s="166"/>
      <c r="G42" s="165"/>
      <c r="H42" s="165"/>
      <c r="I42" s="165"/>
      <c r="J42" s="165"/>
      <c r="K42" s="165"/>
      <c r="L42" s="160"/>
    </row>
    <row r="43" spans="1:17" s="158" customFormat="1" thickBot="1" x14ac:dyDescent="0.35">
      <c r="A43" s="414"/>
      <c r="B43" s="394" t="s">
        <v>14</v>
      </c>
      <c r="C43" s="154" t="s">
        <v>15</v>
      </c>
      <c r="D43" s="415">
        <v>1</v>
      </c>
      <c r="E43" s="415"/>
      <c r="F43" s="155"/>
      <c r="G43" s="416"/>
      <c r="H43" s="417"/>
      <c r="I43" s="417"/>
      <c r="J43" s="417"/>
      <c r="K43" s="417"/>
      <c r="L43" s="418"/>
    </row>
    <row r="44" spans="1:17" s="184" customFormat="1" ht="26.25" customHeight="1" x14ac:dyDescent="0.3">
      <c r="A44" s="119">
        <v>4</v>
      </c>
      <c r="B44" s="137" t="s">
        <v>429</v>
      </c>
      <c r="C44" s="287" t="s">
        <v>33</v>
      </c>
      <c r="D44" s="378"/>
      <c r="E44" s="392">
        <v>804.05600000000015</v>
      </c>
      <c r="F44" s="385"/>
      <c r="G44" s="393"/>
      <c r="H44" s="393"/>
      <c r="I44" s="393"/>
      <c r="J44" s="393"/>
      <c r="K44" s="393"/>
      <c r="L44" s="379"/>
      <c r="Q44" s="285"/>
    </row>
    <row r="45" spans="1:17" s="184" customFormat="1" ht="18" customHeight="1" x14ac:dyDescent="0.3">
      <c r="A45" s="120"/>
      <c r="B45" s="286" t="s">
        <v>8</v>
      </c>
      <c r="C45" s="121" t="s">
        <v>33</v>
      </c>
      <c r="D45" s="122">
        <v>1</v>
      </c>
      <c r="E45" s="122"/>
      <c r="F45" s="388"/>
      <c r="G45" s="388"/>
      <c r="H45" s="389"/>
      <c r="I45" s="389"/>
      <c r="J45" s="389"/>
      <c r="K45" s="389"/>
      <c r="L45" s="380"/>
      <c r="Q45" s="285"/>
    </row>
    <row r="46" spans="1:17" s="184" customFormat="1" ht="18" customHeight="1" x14ac:dyDescent="0.3">
      <c r="A46" s="120"/>
      <c r="B46" s="286" t="s">
        <v>12</v>
      </c>
      <c r="C46" s="121"/>
      <c r="D46" s="122"/>
      <c r="E46" s="122"/>
      <c r="F46" s="388"/>
      <c r="G46" s="388"/>
      <c r="H46" s="389"/>
      <c r="I46" s="389"/>
      <c r="J46" s="389"/>
      <c r="K46" s="389"/>
      <c r="L46" s="380"/>
      <c r="Q46" s="285"/>
    </row>
    <row r="47" spans="1:17" s="184" customFormat="1" ht="18" customHeight="1" x14ac:dyDescent="0.3">
      <c r="A47" s="120"/>
      <c r="B47" s="286" t="s">
        <v>430</v>
      </c>
      <c r="C47" s="121" t="s">
        <v>13</v>
      </c>
      <c r="D47" s="122">
        <v>0.25</v>
      </c>
      <c r="E47" s="122"/>
      <c r="F47" s="388"/>
      <c r="G47" s="388"/>
      <c r="H47" s="389"/>
      <c r="I47" s="389"/>
      <c r="J47" s="389"/>
      <c r="K47" s="389"/>
      <c r="L47" s="380"/>
      <c r="Q47" s="285"/>
    </row>
    <row r="48" spans="1:17" s="158" customFormat="1" thickBot="1" x14ac:dyDescent="0.35">
      <c r="A48" s="198"/>
      <c r="B48" s="98" t="s">
        <v>14</v>
      </c>
      <c r="C48" s="141" t="s">
        <v>15</v>
      </c>
      <c r="D48" s="168">
        <v>0.5</v>
      </c>
      <c r="E48" s="168"/>
      <c r="F48" s="419"/>
      <c r="G48" s="169"/>
      <c r="H48" s="170"/>
      <c r="I48" s="170"/>
      <c r="J48" s="170"/>
      <c r="K48" s="170"/>
      <c r="L48" s="171"/>
    </row>
    <row r="49" spans="1:13" ht="55.8" thickBot="1" x14ac:dyDescent="0.35">
      <c r="A49" s="228">
        <v>5</v>
      </c>
      <c r="B49" s="137" t="s">
        <v>324</v>
      </c>
      <c r="C49" s="229" t="s">
        <v>28</v>
      </c>
      <c r="D49" s="230">
        <v>1</v>
      </c>
      <c r="E49" s="230">
        <v>92.2</v>
      </c>
      <c r="F49" s="439"/>
      <c r="G49" s="231">
        <f t="shared" ref="G49" si="0">F49*E49</f>
        <v>0</v>
      </c>
      <c r="H49" s="230"/>
      <c r="I49" s="230"/>
      <c r="J49" s="230"/>
      <c r="K49" s="230"/>
      <c r="L49" s="232">
        <f>K49+I49+G49</f>
        <v>0</v>
      </c>
      <c r="M49" s="183"/>
    </row>
    <row r="50" spans="1:13" ht="13.95" customHeight="1" thickBot="1" x14ac:dyDescent="0.35">
      <c r="A50" s="263"/>
      <c r="B50" s="264" t="s">
        <v>6</v>
      </c>
      <c r="C50" s="264"/>
      <c r="D50" s="264"/>
      <c r="E50" s="264"/>
      <c r="F50" s="264"/>
      <c r="G50" s="265">
        <f>SUM(G12:G49)</f>
        <v>0</v>
      </c>
      <c r="H50" s="265"/>
      <c r="I50" s="265">
        <f t="shared" ref="I50:L50" si="1">SUM(I12:I49)</f>
        <v>0</v>
      </c>
      <c r="J50" s="265"/>
      <c r="K50" s="265">
        <f t="shared" si="1"/>
        <v>0</v>
      </c>
      <c r="L50" s="265">
        <f t="shared" si="1"/>
        <v>0</v>
      </c>
    </row>
    <row r="51" spans="1:13" x14ac:dyDescent="0.3">
      <c r="A51" s="256"/>
      <c r="B51" s="257" t="s">
        <v>128</v>
      </c>
      <c r="C51" s="258"/>
      <c r="D51" s="257"/>
      <c r="E51" s="257"/>
      <c r="F51" s="257"/>
      <c r="G51" s="257"/>
      <c r="H51" s="257"/>
      <c r="I51" s="257"/>
      <c r="J51" s="257"/>
      <c r="K51" s="257"/>
      <c r="L51" s="266">
        <f>L50*C51</f>
        <v>0</v>
      </c>
    </row>
    <row r="52" spans="1:13" x14ac:dyDescent="0.3">
      <c r="A52" s="259"/>
      <c r="B52" s="219" t="s">
        <v>6</v>
      </c>
      <c r="C52" s="60"/>
      <c r="D52" s="219"/>
      <c r="E52" s="219"/>
      <c r="F52" s="219"/>
      <c r="G52" s="219"/>
      <c r="H52" s="219"/>
      <c r="I52" s="219"/>
      <c r="J52" s="219"/>
      <c r="K52" s="219"/>
      <c r="L52" s="267">
        <f>L51+L50</f>
        <v>0</v>
      </c>
    </row>
    <row r="53" spans="1:13" x14ac:dyDescent="0.3">
      <c r="A53" s="259"/>
      <c r="B53" s="219" t="s">
        <v>154</v>
      </c>
      <c r="C53" s="18"/>
      <c r="D53" s="219"/>
      <c r="E53" s="219"/>
      <c r="F53" s="219"/>
      <c r="G53" s="219"/>
      <c r="H53" s="219"/>
      <c r="I53" s="219"/>
      <c r="J53" s="219"/>
      <c r="K53" s="219"/>
      <c r="L53" s="267">
        <f>L52*C53</f>
        <v>0</v>
      </c>
    </row>
    <row r="54" spans="1:13" x14ac:dyDescent="0.3">
      <c r="A54" s="259"/>
      <c r="B54" s="219" t="s">
        <v>6</v>
      </c>
      <c r="C54" s="18"/>
      <c r="D54" s="219"/>
      <c r="E54" s="219"/>
      <c r="F54" s="219"/>
      <c r="G54" s="219"/>
      <c r="H54" s="219"/>
      <c r="I54" s="219"/>
      <c r="J54" s="219"/>
      <c r="K54" s="219"/>
      <c r="L54" s="267">
        <f>L53+L52</f>
        <v>0</v>
      </c>
    </row>
    <row r="55" spans="1:13" x14ac:dyDescent="0.3">
      <c r="A55" s="259"/>
      <c r="B55" s="219" t="s">
        <v>17</v>
      </c>
      <c r="C55" s="18"/>
      <c r="D55" s="219"/>
      <c r="E55" s="219"/>
      <c r="F55" s="219"/>
      <c r="G55" s="219"/>
      <c r="H55" s="219"/>
      <c r="I55" s="219"/>
      <c r="J55" s="219"/>
      <c r="K55" s="219"/>
      <c r="L55" s="267">
        <f>C55*L54</f>
        <v>0</v>
      </c>
    </row>
    <row r="56" spans="1:13" x14ac:dyDescent="0.3">
      <c r="A56" s="259"/>
      <c r="B56" s="219" t="s">
        <v>6</v>
      </c>
      <c r="C56" s="18"/>
      <c r="D56" s="219"/>
      <c r="E56" s="219"/>
      <c r="F56" s="219"/>
      <c r="G56" s="219"/>
      <c r="H56" s="219"/>
      <c r="I56" s="219"/>
      <c r="J56" s="219"/>
      <c r="K56" s="219"/>
      <c r="L56" s="267">
        <f>L55+L54</f>
        <v>0</v>
      </c>
    </row>
    <row r="57" spans="1:13" x14ac:dyDescent="0.3">
      <c r="A57" s="259"/>
      <c r="B57" s="219" t="s">
        <v>18</v>
      </c>
      <c r="C57" s="18"/>
      <c r="D57" s="219"/>
      <c r="E57" s="219"/>
      <c r="F57" s="219"/>
      <c r="G57" s="219"/>
      <c r="H57" s="219"/>
      <c r="I57" s="219"/>
      <c r="J57" s="219"/>
      <c r="K57" s="219"/>
      <c r="L57" s="267">
        <f>L56*C57</f>
        <v>0</v>
      </c>
    </row>
    <row r="58" spans="1:13" x14ac:dyDescent="0.3">
      <c r="A58" s="259"/>
      <c r="B58" s="219" t="s">
        <v>6</v>
      </c>
      <c r="C58" s="29"/>
      <c r="D58" s="219"/>
      <c r="E58" s="219"/>
      <c r="F58" s="219"/>
      <c r="G58" s="219"/>
      <c r="H58" s="219"/>
      <c r="I58" s="219"/>
      <c r="J58" s="219"/>
      <c r="K58" s="219"/>
      <c r="L58" s="544">
        <f>L57+L56</f>
        <v>0</v>
      </c>
    </row>
    <row r="59" spans="1:13" ht="15" thickBot="1" x14ac:dyDescent="0.35">
      <c r="A59" s="260"/>
      <c r="B59" s="261" t="s">
        <v>19</v>
      </c>
      <c r="C59" s="262">
        <v>0.18</v>
      </c>
      <c r="D59" s="261"/>
      <c r="E59" s="261"/>
      <c r="F59" s="261"/>
      <c r="G59" s="261"/>
      <c r="H59" s="261"/>
      <c r="I59" s="261"/>
      <c r="J59" s="261"/>
      <c r="K59" s="261"/>
      <c r="L59" s="546">
        <f>L58*C59</f>
        <v>0</v>
      </c>
    </row>
    <row r="60" spans="1:13" ht="15" thickBot="1" x14ac:dyDescent="0.35">
      <c r="A60" s="263"/>
      <c r="B60" s="264" t="s">
        <v>6</v>
      </c>
      <c r="C60" s="264"/>
      <c r="D60" s="264"/>
      <c r="E60" s="264"/>
      <c r="F60" s="264"/>
      <c r="G60" s="264"/>
      <c r="H60" s="264"/>
      <c r="I60" s="264"/>
      <c r="J60" s="264"/>
      <c r="K60" s="264"/>
      <c r="L60" s="547">
        <f>L59+L58</f>
        <v>0</v>
      </c>
    </row>
  </sheetData>
  <autoFilter ref="A11:L60" xr:uid="{20078989-D2D8-4BB0-ABEC-D3653D010264}"/>
  <mergeCells count="17">
    <mergeCell ref="A7:B7"/>
    <mergeCell ref="K8:L8"/>
    <mergeCell ref="A9:A10"/>
    <mergeCell ref="B9:B10"/>
    <mergeCell ref="C9:C10"/>
    <mergeCell ref="D9:E9"/>
    <mergeCell ref="F9:G9"/>
    <mergeCell ref="H9:I9"/>
    <mergeCell ref="J9:K9"/>
    <mergeCell ref="L9:L10"/>
    <mergeCell ref="A6:B6"/>
    <mergeCell ref="K6:L6"/>
    <mergeCell ref="A1:L1"/>
    <mergeCell ref="A2:L2"/>
    <mergeCell ref="A3:L3"/>
    <mergeCell ref="H5:J5"/>
    <mergeCell ref="K5:L5"/>
  </mergeCells>
  <pageMargins left="0.7" right="0.7" top="0.75" bottom="0.75" header="0.3" footer="0.3"/>
  <ignoredErrors>
    <ignoredError sqref="I50 K50" formulaRange="1"/>
    <ignoredError sqref="L52 L55:L5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არქიტექტურა  (2)</vt:lpstr>
      <vt:lpstr>ანგ.</vt:lpstr>
      <vt:lpstr>კრებსითი</vt:lpstr>
      <vt:lpstr>კედელი</vt:lpstr>
      <vt:lpstr>იატაკი </vt:lpstr>
      <vt:lpstr>ჭერი</vt:lpstr>
      <vt:lpstr>კარები</vt:lpstr>
      <vt:lpstr>კიბეები და მოაჯირები</vt:lpstr>
      <vt:lpstr>მოაჯირები</vt:lpstr>
      <vt:lpstr>ფასადი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nikoloz</dc:creator>
  <cp:lastModifiedBy>Giorgi javakhishvili</cp:lastModifiedBy>
  <cp:lastPrinted>2024-04-23T06:56:11Z</cp:lastPrinted>
  <dcterms:created xsi:type="dcterms:W3CDTF">2015-06-05T18:17:20Z</dcterms:created>
  <dcterms:modified xsi:type="dcterms:W3CDTF">2026-08-26T06:50:45Z</dcterms:modified>
</cp:coreProperties>
</file>