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tenozadze\Desktop\"/>
    </mc:Choice>
  </mc:AlternateContent>
  <xr:revisionPtr revIDLastSave="0" documentId="13_ncr:1_{57E395EA-DAED-4F02-94D0-1DAF51EFBE3D}" xr6:coauthVersionLast="47" xr6:coauthVersionMax="47" xr10:uidLastSave="{00000000-0000-0000-0000-000000000000}"/>
  <bookViews>
    <workbookView xWindow="-108" yWindow="-108" windowWidth="23256" windowHeight="12456" tabRatio="500" activeTab="1" xr2:uid="{00000000-000D-0000-FFFF-FFFF00000000}"/>
  </bookViews>
  <sheets>
    <sheet name="ინსტრუქცია მომწოდებლისთვის" sheetId="1" r:id="rId1"/>
    <sheet name="მომწოდებლის ფორმა" sheetId="2" r:id="rId2"/>
    <sheet name="ფასი კლინიკებით" sheetId="3" r:id="rId3"/>
    <sheet name="შესასყიდი რაოდენობა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22" i="2" l="1"/>
  <c r="H22" i="2"/>
  <c r="G22" i="2"/>
  <c r="E22" i="2"/>
  <c r="D22" i="2"/>
  <c r="C22" i="2"/>
  <c r="B22" i="2"/>
  <c r="I21" i="2"/>
  <c r="H21" i="2"/>
  <c r="G21" i="2"/>
  <c r="E21" i="2"/>
  <c r="C21" i="2"/>
  <c r="B21" i="2"/>
  <c r="I20" i="2"/>
  <c r="H20" i="2"/>
  <c r="D20" i="2"/>
  <c r="B20" i="2"/>
  <c r="I19" i="2"/>
  <c r="H19" i="2"/>
  <c r="E19" i="2"/>
  <c r="D19" i="2"/>
  <c r="C19" i="2"/>
  <c r="B19" i="2"/>
  <c r="G18" i="2"/>
  <c r="D18" i="2"/>
  <c r="C18" i="2"/>
  <c r="B18" i="2"/>
  <c r="I16" i="2"/>
  <c r="H16" i="2"/>
  <c r="G16" i="2"/>
  <c r="E16" i="2"/>
  <c r="C16" i="2"/>
  <c r="B16" i="2"/>
  <c r="I10" i="2"/>
  <c r="H10" i="2"/>
  <c r="G10" i="2"/>
  <c r="E10" i="2"/>
  <c r="C10" i="2"/>
  <c r="B10" i="2"/>
  <c r="I9" i="2"/>
  <c r="H9" i="2"/>
  <c r="G9" i="2"/>
  <c r="E9" i="2"/>
  <c r="C9" i="2"/>
  <c r="B9" i="2"/>
  <c r="H8" i="2"/>
  <c r="G8" i="2"/>
  <c r="C8" i="2"/>
  <c r="B8" i="2"/>
  <c r="H7" i="2"/>
  <c r="G7" i="2"/>
  <c r="E7" i="2"/>
  <c r="C7" i="2"/>
  <c r="B7" i="2"/>
  <c r="H6" i="2"/>
  <c r="G6" i="2"/>
  <c r="E6" i="2"/>
  <c r="C6" i="2"/>
  <c r="B6" i="2"/>
  <c r="I5" i="2"/>
  <c r="H5" i="2"/>
  <c r="G5" i="2"/>
  <c r="D5" i="2"/>
  <c r="C5" i="2"/>
  <c r="B5" i="2"/>
  <c r="I110" i="4"/>
  <c r="H110" i="4"/>
  <c r="G110" i="4"/>
  <c r="F110" i="4"/>
  <c r="E110" i="4"/>
  <c r="D110" i="4"/>
  <c r="C110" i="4"/>
  <c r="B110" i="4"/>
  <c r="A110" i="4"/>
  <c r="I109" i="4"/>
  <c r="H109" i="4"/>
  <c r="G109" i="4"/>
  <c r="F109" i="4"/>
  <c r="E109" i="4"/>
  <c r="D109" i="4"/>
  <c r="C109" i="4"/>
  <c r="B109" i="4"/>
  <c r="A109" i="4"/>
  <c r="I108" i="4"/>
  <c r="H108" i="4"/>
  <c r="G108" i="4"/>
  <c r="F108" i="4"/>
  <c r="E108" i="4"/>
  <c r="D108" i="4"/>
  <c r="C108" i="4"/>
  <c r="B108" i="4"/>
  <c r="A108" i="4"/>
  <c r="I107" i="4"/>
  <c r="H107" i="4"/>
  <c r="G107" i="4"/>
  <c r="F107" i="4"/>
  <c r="E107" i="4"/>
  <c r="D107" i="4"/>
  <c r="C107" i="4"/>
  <c r="B107" i="4"/>
  <c r="A107" i="4"/>
  <c r="I106" i="4"/>
  <c r="H106" i="4"/>
  <c r="G106" i="4"/>
  <c r="F106" i="4"/>
  <c r="E106" i="4"/>
  <c r="D106" i="4"/>
  <c r="C106" i="4"/>
  <c r="B106" i="4"/>
  <c r="A106" i="4"/>
  <c r="F105" i="4"/>
  <c r="A105" i="4"/>
  <c r="F104" i="4"/>
  <c r="A104" i="4"/>
  <c r="G103" i="4"/>
  <c r="F103" i="4"/>
  <c r="E103" i="4"/>
  <c r="C103" i="4"/>
  <c r="A103" i="4"/>
  <c r="G102" i="4"/>
  <c r="F102" i="4"/>
  <c r="A102" i="4"/>
  <c r="I101" i="4"/>
  <c r="H101" i="4"/>
  <c r="F101" i="4"/>
  <c r="E101" i="4"/>
  <c r="D101" i="4"/>
  <c r="A101" i="4"/>
  <c r="I100" i="4"/>
  <c r="H100" i="4"/>
  <c r="G100" i="4"/>
  <c r="F100" i="4"/>
  <c r="E100" i="4"/>
  <c r="D100" i="4"/>
  <c r="C100" i="4"/>
  <c r="B100" i="4"/>
  <c r="A100" i="4"/>
  <c r="F99" i="4"/>
  <c r="A99" i="4"/>
  <c r="L98" i="4"/>
  <c r="I98" i="4"/>
  <c r="H98" i="4"/>
  <c r="G98" i="4"/>
  <c r="F98" i="4"/>
  <c r="E98" i="4"/>
  <c r="D98" i="4"/>
  <c r="C98" i="4"/>
  <c r="B98" i="4"/>
  <c r="A98" i="4"/>
  <c r="I97" i="4"/>
  <c r="H97" i="4"/>
  <c r="G97" i="4"/>
  <c r="F97" i="4"/>
  <c r="E97" i="4"/>
  <c r="D97" i="4"/>
  <c r="C97" i="4"/>
  <c r="B97" i="4"/>
  <c r="A97" i="4"/>
  <c r="I96" i="4"/>
  <c r="H96" i="4"/>
  <c r="G96" i="4"/>
  <c r="F96" i="4"/>
  <c r="E96" i="4"/>
  <c r="D96" i="4"/>
  <c r="C96" i="4"/>
  <c r="B96" i="4"/>
  <c r="A96" i="4"/>
  <c r="I95" i="4"/>
  <c r="H95" i="4"/>
  <c r="G95" i="4"/>
  <c r="F95" i="4"/>
  <c r="E95" i="4"/>
  <c r="D95" i="4"/>
  <c r="C95" i="4"/>
  <c r="B95" i="4"/>
  <c r="J95" i="4" s="1"/>
  <c r="M95" i="4" s="1"/>
  <c r="N95" i="4" s="1"/>
  <c r="A95" i="4"/>
  <c r="I94" i="4"/>
  <c r="H94" i="4"/>
  <c r="G94" i="4"/>
  <c r="F94" i="4"/>
  <c r="E94" i="4"/>
  <c r="D94" i="4"/>
  <c r="C94" i="4"/>
  <c r="B94" i="4"/>
  <c r="A94" i="4"/>
  <c r="F93" i="4"/>
  <c r="A93" i="4"/>
  <c r="F92" i="4"/>
  <c r="A92" i="4"/>
  <c r="F91" i="4"/>
  <c r="E91" i="4"/>
  <c r="D91" i="4"/>
  <c r="A91" i="4"/>
  <c r="F90" i="4"/>
  <c r="A90" i="4"/>
  <c r="F89" i="4"/>
  <c r="A89" i="4"/>
  <c r="F88" i="4"/>
  <c r="E88" i="4"/>
  <c r="A88" i="4"/>
  <c r="I87" i="4"/>
  <c r="H87" i="4"/>
  <c r="G87" i="4"/>
  <c r="F87" i="4"/>
  <c r="E87" i="4"/>
  <c r="D87" i="4"/>
  <c r="C87" i="4"/>
  <c r="B87" i="4"/>
  <c r="A87" i="4"/>
  <c r="I86" i="4"/>
  <c r="H86" i="4"/>
  <c r="G86" i="4"/>
  <c r="F86" i="4"/>
  <c r="E86" i="4"/>
  <c r="D86" i="4"/>
  <c r="C86" i="4"/>
  <c r="B86" i="4"/>
  <c r="I83" i="4"/>
  <c r="H83" i="4"/>
  <c r="G83" i="4"/>
  <c r="F83" i="4"/>
  <c r="E83" i="4"/>
  <c r="D83" i="4"/>
  <c r="C83" i="4"/>
  <c r="B83" i="4"/>
  <c r="J83" i="4" s="1"/>
  <c r="K83" i="4" s="1"/>
  <c r="A83" i="4"/>
  <c r="I82" i="4"/>
  <c r="H82" i="4"/>
  <c r="G82" i="4"/>
  <c r="F82" i="4"/>
  <c r="E82" i="4"/>
  <c r="D82" i="4"/>
  <c r="C82" i="4"/>
  <c r="B82" i="4"/>
  <c r="A82" i="4"/>
  <c r="L81" i="4"/>
  <c r="I81" i="4"/>
  <c r="H81" i="4"/>
  <c r="G81" i="4"/>
  <c r="F81" i="4"/>
  <c r="E81" i="4"/>
  <c r="D81" i="4"/>
  <c r="C81" i="4"/>
  <c r="B81" i="4"/>
  <c r="A81" i="4"/>
  <c r="I80" i="4"/>
  <c r="H80" i="4"/>
  <c r="G80" i="4"/>
  <c r="F80" i="4"/>
  <c r="E80" i="4"/>
  <c r="D80" i="4"/>
  <c r="C80" i="4"/>
  <c r="B80" i="4"/>
  <c r="A80" i="4"/>
  <c r="I79" i="4"/>
  <c r="H79" i="4"/>
  <c r="G79" i="4"/>
  <c r="F79" i="4"/>
  <c r="E79" i="4"/>
  <c r="D79" i="4"/>
  <c r="C79" i="4"/>
  <c r="B79" i="4"/>
  <c r="A79" i="4"/>
  <c r="I78" i="4"/>
  <c r="H78" i="4"/>
  <c r="G78" i="4"/>
  <c r="F78" i="4"/>
  <c r="E78" i="4"/>
  <c r="D78" i="4"/>
  <c r="C78" i="4"/>
  <c r="B78" i="4"/>
  <c r="A78" i="4"/>
  <c r="I77" i="4"/>
  <c r="H77" i="4"/>
  <c r="G77" i="4"/>
  <c r="F77" i="4"/>
  <c r="E77" i="4"/>
  <c r="D77" i="4"/>
  <c r="C77" i="4"/>
  <c r="B77" i="4"/>
  <c r="A77" i="4"/>
  <c r="I76" i="4"/>
  <c r="H76" i="4"/>
  <c r="G76" i="4"/>
  <c r="F76" i="4"/>
  <c r="E76" i="4"/>
  <c r="D76" i="4"/>
  <c r="C76" i="4"/>
  <c r="B76" i="4"/>
  <c r="J76" i="4" s="1"/>
  <c r="K76" i="4" s="1"/>
  <c r="A76" i="4"/>
  <c r="I75" i="4"/>
  <c r="H75" i="4"/>
  <c r="G75" i="4"/>
  <c r="F75" i="4"/>
  <c r="E75" i="4"/>
  <c r="D75" i="4"/>
  <c r="C75" i="4"/>
  <c r="B75" i="4"/>
  <c r="A75" i="4"/>
  <c r="I74" i="4"/>
  <c r="H74" i="4"/>
  <c r="G74" i="4"/>
  <c r="F74" i="4"/>
  <c r="E74" i="4"/>
  <c r="D74" i="4"/>
  <c r="C74" i="4"/>
  <c r="B74" i="4"/>
  <c r="A74" i="4"/>
  <c r="I73" i="4"/>
  <c r="H73" i="4"/>
  <c r="G73" i="4"/>
  <c r="F73" i="4"/>
  <c r="E73" i="4"/>
  <c r="D73" i="4"/>
  <c r="C73" i="4"/>
  <c r="B73" i="4"/>
  <c r="A73" i="4"/>
  <c r="I72" i="4"/>
  <c r="H72" i="4"/>
  <c r="G72" i="4"/>
  <c r="F72" i="4"/>
  <c r="E72" i="4"/>
  <c r="D72" i="4"/>
  <c r="C72" i="4"/>
  <c r="B72" i="4"/>
  <c r="A72" i="4"/>
  <c r="I71" i="4"/>
  <c r="H71" i="4"/>
  <c r="G71" i="4"/>
  <c r="F71" i="4"/>
  <c r="E71" i="4"/>
  <c r="D71" i="4"/>
  <c r="C71" i="4"/>
  <c r="B71" i="4"/>
  <c r="A71" i="4"/>
  <c r="I70" i="4"/>
  <c r="H70" i="4"/>
  <c r="G70" i="4"/>
  <c r="F70" i="4"/>
  <c r="E70" i="4"/>
  <c r="D70" i="4"/>
  <c r="C70" i="4"/>
  <c r="B70" i="4"/>
  <c r="A70" i="4"/>
  <c r="I69" i="4"/>
  <c r="H69" i="4"/>
  <c r="G69" i="4"/>
  <c r="F69" i="4"/>
  <c r="E69" i="4"/>
  <c r="D69" i="4"/>
  <c r="C69" i="4"/>
  <c r="B69" i="4"/>
  <c r="A69" i="4"/>
  <c r="L68" i="4"/>
  <c r="I68" i="4"/>
  <c r="H68" i="4"/>
  <c r="G68" i="4"/>
  <c r="F68" i="4"/>
  <c r="E68" i="4"/>
  <c r="D68" i="4"/>
  <c r="C68" i="4"/>
  <c r="B68" i="4"/>
  <c r="A68" i="4"/>
  <c r="I67" i="4"/>
  <c r="H67" i="4"/>
  <c r="G67" i="4"/>
  <c r="F67" i="4"/>
  <c r="E67" i="4"/>
  <c r="D67" i="4"/>
  <c r="C67" i="4"/>
  <c r="B67" i="4"/>
  <c r="A67" i="4"/>
  <c r="I66" i="4"/>
  <c r="H66" i="4"/>
  <c r="G66" i="4"/>
  <c r="F66" i="4"/>
  <c r="E66" i="4"/>
  <c r="D66" i="4"/>
  <c r="C66" i="4"/>
  <c r="B66" i="4"/>
  <c r="A66" i="4"/>
  <c r="L65" i="4"/>
  <c r="I65" i="4"/>
  <c r="H65" i="4"/>
  <c r="G65" i="4"/>
  <c r="F65" i="4"/>
  <c r="E65" i="4"/>
  <c r="D65" i="4"/>
  <c r="C65" i="4"/>
  <c r="B65" i="4"/>
  <c r="A65" i="4"/>
  <c r="I64" i="4"/>
  <c r="H64" i="4"/>
  <c r="G64" i="4"/>
  <c r="F64" i="4"/>
  <c r="E64" i="4"/>
  <c r="D64" i="4"/>
  <c r="C64" i="4"/>
  <c r="B64" i="4"/>
  <c r="A64" i="4"/>
  <c r="I63" i="4"/>
  <c r="H63" i="4"/>
  <c r="G63" i="4"/>
  <c r="F63" i="4"/>
  <c r="E63" i="4"/>
  <c r="D63" i="4"/>
  <c r="C63" i="4"/>
  <c r="B63" i="4"/>
  <c r="A63" i="4"/>
  <c r="I62" i="4"/>
  <c r="H62" i="4"/>
  <c r="G62" i="4"/>
  <c r="F62" i="4"/>
  <c r="E62" i="4"/>
  <c r="D62" i="4"/>
  <c r="C62" i="4"/>
  <c r="B62" i="4"/>
  <c r="A62" i="4"/>
  <c r="I61" i="4"/>
  <c r="H61" i="4"/>
  <c r="G61" i="4"/>
  <c r="F61" i="4"/>
  <c r="E61" i="4"/>
  <c r="D61" i="4"/>
  <c r="C61" i="4"/>
  <c r="B61" i="4"/>
  <c r="A61" i="4"/>
  <c r="I60" i="4"/>
  <c r="H60" i="4"/>
  <c r="G60" i="4"/>
  <c r="F60" i="4"/>
  <c r="E60" i="4"/>
  <c r="D60" i="4"/>
  <c r="C60" i="4"/>
  <c r="B60" i="4"/>
  <c r="A60" i="4"/>
  <c r="I59" i="4"/>
  <c r="H59" i="4"/>
  <c r="G59" i="4"/>
  <c r="F59" i="4"/>
  <c r="E59" i="4"/>
  <c r="D59" i="4"/>
  <c r="C59" i="4"/>
  <c r="B59" i="4"/>
  <c r="I56" i="4"/>
  <c r="H56" i="4"/>
  <c r="G56" i="4"/>
  <c r="F56" i="4"/>
  <c r="E56" i="4"/>
  <c r="D56" i="4"/>
  <c r="C56" i="4"/>
  <c r="B56" i="4"/>
  <c r="A56" i="4"/>
  <c r="I55" i="4"/>
  <c r="H55" i="4"/>
  <c r="G55" i="4"/>
  <c r="F55" i="4"/>
  <c r="E55" i="4"/>
  <c r="D55" i="4"/>
  <c r="C55" i="4"/>
  <c r="B55" i="4"/>
  <c r="A55" i="4"/>
  <c r="I54" i="4"/>
  <c r="H54" i="4"/>
  <c r="G54" i="4"/>
  <c r="F54" i="4"/>
  <c r="E54" i="4"/>
  <c r="D54" i="4"/>
  <c r="C54" i="4"/>
  <c r="B54" i="4"/>
  <c r="A54" i="4"/>
  <c r="I53" i="4"/>
  <c r="H53" i="4"/>
  <c r="G53" i="4"/>
  <c r="F53" i="4"/>
  <c r="E53" i="4"/>
  <c r="D53" i="4"/>
  <c r="C53" i="4"/>
  <c r="B53" i="4"/>
  <c r="A53" i="4"/>
  <c r="I52" i="4"/>
  <c r="H52" i="4"/>
  <c r="G52" i="4"/>
  <c r="F52" i="4"/>
  <c r="E52" i="4"/>
  <c r="D52" i="4"/>
  <c r="C52" i="4"/>
  <c r="B52" i="4"/>
  <c r="A52" i="4"/>
  <c r="I51" i="4"/>
  <c r="H51" i="4"/>
  <c r="G51" i="4"/>
  <c r="F51" i="4"/>
  <c r="E51" i="4"/>
  <c r="D51" i="4"/>
  <c r="C51" i="4"/>
  <c r="B51" i="4"/>
  <c r="A51" i="4"/>
  <c r="I50" i="4"/>
  <c r="H50" i="4"/>
  <c r="G50" i="4"/>
  <c r="F50" i="4"/>
  <c r="E50" i="4"/>
  <c r="D50" i="4"/>
  <c r="C50" i="4"/>
  <c r="B50" i="4"/>
  <c r="A50" i="4"/>
  <c r="L49" i="4"/>
  <c r="I49" i="4"/>
  <c r="H49" i="4"/>
  <c r="G49" i="4"/>
  <c r="F49" i="4"/>
  <c r="E49" i="4"/>
  <c r="D49" i="4"/>
  <c r="C49" i="4"/>
  <c r="B49" i="4"/>
  <c r="A49" i="4"/>
  <c r="I48" i="4"/>
  <c r="H48" i="4"/>
  <c r="G48" i="4"/>
  <c r="F48" i="4"/>
  <c r="E48" i="4"/>
  <c r="D48" i="4"/>
  <c r="C48" i="4"/>
  <c r="B48" i="4"/>
  <c r="A48" i="4"/>
  <c r="I47" i="4"/>
  <c r="H47" i="4"/>
  <c r="G47" i="4"/>
  <c r="F47" i="4"/>
  <c r="E47" i="4"/>
  <c r="D47" i="4"/>
  <c r="C47" i="4"/>
  <c r="B47" i="4"/>
  <c r="A47" i="4"/>
  <c r="I46" i="4"/>
  <c r="H46" i="4"/>
  <c r="G46" i="4"/>
  <c r="F46" i="4"/>
  <c r="E46" i="4"/>
  <c r="D46" i="4"/>
  <c r="C46" i="4"/>
  <c r="B46" i="4"/>
  <c r="A46" i="4"/>
  <c r="I45" i="4"/>
  <c r="H45" i="4"/>
  <c r="G45" i="4"/>
  <c r="F45" i="4"/>
  <c r="E45" i="4"/>
  <c r="D45" i="4"/>
  <c r="C45" i="4"/>
  <c r="B45" i="4"/>
  <c r="A45" i="4"/>
  <c r="I44" i="4"/>
  <c r="H44" i="4"/>
  <c r="G44" i="4"/>
  <c r="F44" i="4"/>
  <c r="E44" i="4"/>
  <c r="D44" i="4"/>
  <c r="C44" i="4"/>
  <c r="B44" i="4"/>
  <c r="J44" i="4" s="1"/>
  <c r="K44" i="4" s="1"/>
  <c r="A44" i="4"/>
  <c r="I43" i="4"/>
  <c r="H43" i="4"/>
  <c r="G43" i="4"/>
  <c r="F43" i="4"/>
  <c r="E43" i="4"/>
  <c r="D43" i="4"/>
  <c r="C43" i="4"/>
  <c r="B43" i="4"/>
  <c r="A43" i="4"/>
  <c r="I42" i="4"/>
  <c r="H42" i="4"/>
  <c r="G42" i="4"/>
  <c r="F42" i="4"/>
  <c r="E42" i="4"/>
  <c r="D42" i="4"/>
  <c r="C42" i="4"/>
  <c r="B42" i="4"/>
  <c r="A42" i="4"/>
  <c r="L41" i="4"/>
  <c r="I41" i="4"/>
  <c r="H41" i="4"/>
  <c r="G41" i="4"/>
  <c r="F41" i="4"/>
  <c r="E41" i="4"/>
  <c r="D41" i="4"/>
  <c r="C41" i="4"/>
  <c r="B41" i="4"/>
  <c r="A41" i="4"/>
  <c r="I40" i="4"/>
  <c r="H40" i="4"/>
  <c r="G40" i="4"/>
  <c r="F40" i="4"/>
  <c r="E40" i="4"/>
  <c r="D40" i="4"/>
  <c r="C40" i="4"/>
  <c r="B40" i="4"/>
  <c r="A40" i="4"/>
  <c r="L39" i="4"/>
  <c r="I39" i="4"/>
  <c r="H39" i="4"/>
  <c r="G39" i="4"/>
  <c r="F39" i="4"/>
  <c r="E39" i="4"/>
  <c r="D39" i="4"/>
  <c r="C39" i="4"/>
  <c r="B39" i="4"/>
  <c r="A39" i="4"/>
  <c r="I38" i="4"/>
  <c r="H38" i="4"/>
  <c r="G38" i="4"/>
  <c r="F38" i="4"/>
  <c r="E38" i="4"/>
  <c r="D38" i="4"/>
  <c r="C38" i="4"/>
  <c r="B38" i="4"/>
  <c r="J38" i="4" s="1"/>
  <c r="K38" i="4" s="1"/>
  <c r="A38" i="4"/>
  <c r="I37" i="4"/>
  <c r="H37" i="4"/>
  <c r="G37" i="4"/>
  <c r="F37" i="4"/>
  <c r="E37" i="4"/>
  <c r="D37" i="4"/>
  <c r="C37" i="4"/>
  <c r="B37" i="4"/>
  <c r="A37" i="4"/>
  <c r="I36" i="4"/>
  <c r="H36" i="4"/>
  <c r="G36" i="4"/>
  <c r="F36" i="4"/>
  <c r="E36" i="4"/>
  <c r="D36" i="4"/>
  <c r="C36" i="4"/>
  <c r="B36" i="4"/>
  <c r="A36" i="4"/>
  <c r="I35" i="4"/>
  <c r="H35" i="4"/>
  <c r="G35" i="4"/>
  <c r="F35" i="4"/>
  <c r="E35" i="4"/>
  <c r="D35" i="4"/>
  <c r="C35" i="4"/>
  <c r="B35" i="4"/>
  <c r="A35" i="4"/>
  <c r="I34" i="4"/>
  <c r="H34" i="4"/>
  <c r="G34" i="4"/>
  <c r="F34" i="4"/>
  <c r="E34" i="4"/>
  <c r="D34" i="4"/>
  <c r="C34" i="4"/>
  <c r="B34" i="4"/>
  <c r="A34" i="4"/>
  <c r="I33" i="4"/>
  <c r="H33" i="4"/>
  <c r="G33" i="4"/>
  <c r="F33" i="4"/>
  <c r="E33" i="4"/>
  <c r="D33" i="4"/>
  <c r="C33" i="4"/>
  <c r="B33" i="4"/>
  <c r="A33" i="4"/>
  <c r="I32" i="4"/>
  <c r="H32" i="4"/>
  <c r="G32" i="4"/>
  <c r="F32" i="4"/>
  <c r="E32" i="4"/>
  <c r="D32" i="4"/>
  <c r="C32" i="4"/>
  <c r="B32" i="4"/>
  <c r="K29" i="4"/>
  <c r="I29" i="4"/>
  <c r="H29" i="4"/>
  <c r="G29" i="4"/>
  <c r="F29" i="4"/>
  <c r="E29" i="4"/>
  <c r="D29" i="4"/>
  <c r="C29" i="4"/>
  <c r="B29" i="4"/>
  <c r="A29" i="4"/>
  <c r="K28" i="4"/>
  <c r="I28" i="4"/>
  <c r="H28" i="4"/>
  <c r="G28" i="4"/>
  <c r="F28" i="4"/>
  <c r="E28" i="4"/>
  <c r="D28" i="4"/>
  <c r="C28" i="4"/>
  <c r="B28" i="4"/>
  <c r="A28" i="4"/>
  <c r="K27" i="4"/>
  <c r="I27" i="4"/>
  <c r="H27" i="4"/>
  <c r="G27" i="4"/>
  <c r="F27" i="4"/>
  <c r="E27" i="4"/>
  <c r="D27" i="4"/>
  <c r="C27" i="4"/>
  <c r="B27" i="4"/>
  <c r="A27" i="4"/>
  <c r="K26" i="4"/>
  <c r="I26" i="4"/>
  <c r="H26" i="4"/>
  <c r="G26" i="4"/>
  <c r="F26" i="4"/>
  <c r="E26" i="4"/>
  <c r="D26" i="4"/>
  <c r="C26" i="4"/>
  <c r="B26" i="4"/>
  <c r="A26" i="4"/>
  <c r="K25" i="4"/>
  <c r="I25" i="4"/>
  <c r="H25" i="4"/>
  <c r="G25" i="4"/>
  <c r="F25" i="4"/>
  <c r="E25" i="4"/>
  <c r="D25" i="4"/>
  <c r="C25" i="4"/>
  <c r="B25" i="4"/>
  <c r="A25" i="4"/>
  <c r="K24" i="4"/>
  <c r="F24" i="4"/>
  <c r="A24" i="4"/>
  <c r="K23" i="4"/>
  <c r="F23" i="4"/>
  <c r="C23" i="4"/>
  <c r="A23" i="4"/>
  <c r="K22" i="4"/>
  <c r="G22" i="4"/>
  <c r="F22" i="4"/>
  <c r="E22" i="4"/>
  <c r="C22" i="4"/>
  <c r="A22" i="4"/>
  <c r="K21" i="4"/>
  <c r="G21" i="4"/>
  <c r="F21" i="4"/>
  <c r="A21" i="4"/>
  <c r="K20" i="4"/>
  <c r="I20" i="4"/>
  <c r="H20" i="4"/>
  <c r="F20" i="4"/>
  <c r="E20" i="4"/>
  <c r="A20" i="4"/>
  <c r="K19" i="4"/>
  <c r="I19" i="4"/>
  <c r="H19" i="4"/>
  <c r="G19" i="4"/>
  <c r="F19" i="4"/>
  <c r="E19" i="4"/>
  <c r="D19" i="4"/>
  <c r="C19" i="4"/>
  <c r="B19" i="4"/>
  <c r="J19" i="4" s="1"/>
  <c r="A19" i="4"/>
  <c r="K18" i="4"/>
  <c r="F18" i="4"/>
  <c r="D18" i="4"/>
  <c r="A18" i="4"/>
  <c r="K17" i="4"/>
  <c r="I17" i="4"/>
  <c r="H17" i="4"/>
  <c r="G17" i="4"/>
  <c r="F17" i="4"/>
  <c r="E17" i="4"/>
  <c r="D17" i="4"/>
  <c r="C17" i="4"/>
  <c r="B17" i="4"/>
  <c r="A17" i="4"/>
  <c r="K16" i="4"/>
  <c r="I16" i="4"/>
  <c r="H16" i="4"/>
  <c r="G16" i="4"/>
  <c r="F16" i="4"/>
  <c r="E16" i="4"/>
  <c r="D16" i="4"/>
  <c r="C16" i="4"/>
  <c r="B16" i="4"/>
  <c r="A16" i="4"/>
  <c r="K15" i="4"/>
  <c r="I15" i="4"/>
  <c r="H15" i="4"/>
  <c r="G15" i="4"/>
  <c r="F15" i="4"/>
  <c r="E15" i="4"/>
  <c r="D15" i="4"/>
  <c r="C15" i="4"/>
  <c r="B15" i="4"/>
  <c r="A15" i="4"/>
  <c r="K14" i="4"/>
  <c r="I14" i="4"/>
  <c r="H14" i="4"/>
  <c r="G14" i="4"/>
  <c r="F14" i="4"/>
  <c r="E14" i="4"/>
  <c r="D14" i="4"/>
  <c r="C14" i="4"/>
  <c r="B14" i="4"/>
  <c r="A14" i="4"/>
  <c r="K13" i="4"/>
  <c r="I13" i="4"/>
  <c r="H13" i="4"/>
  <c r="G13" i="4"/>
  <c r="F13" i="4"/>
  <c r="E13" i="4"/>
  <c r="D13" i="4"/>
  <c r="C13" i="4"/>
  <c r="B13" i="4"/>
  <c r="A13" i="4"/>
  <c r="K12" i="4"/>
  <c r="F12" i="4"/>
  <c r="A12" i="4"/>
  <c r="K11" i="4"/>
  <c r="F11" i="4"/>
  <c r="A11" i="4"/>
  <c r="K10" i="4"/>
  <c r="F10" i="4"/>
  <c r="E10" i="4"/>
  <c r="D10" i="4"/>
  <c r="B10" i="4"/>
  <c r="A10" i="4"/>
  <c r="K9" i="4"/>
  <c r="F9" i="4"/>
  <c r="A9" i="4"/>
  <c r="K8" i="4"/>
  <c r="H8" i="4"/>
  <c r="F8" i="4"/>
  <c r="A8" i="4"/>
  <c r="K7" i="4"/>
  <c r="F7" i="4"/>
  <c r="E7" i="4"/>
  <c r="A7" i="4"/>
  <c r="K6" i="4"/>
  <c r="I6" i="4"/>
  <c r="H6" i="4"/>
  <c r="G6" i="4"/>
  <c r="F6" i="4"/>
  <c r="E6" i="4"/>
  <c r="D6" i="4"/>
  <c r="C6" i="4"/>
  <c r="B6" i="4"/>
  <c r="A6" i="4"/>
  <c r="I5" i="4"/>
  <c r="H5" i="4"/>
  <c r="G5" i="4"/>
  <c r="F5" i="4"/>
  <c r="E5" i="4"/>
  <c r="D5" i="4"/>
  <c r="C5" i="4"/>
  <c r="B5" i="4"/>
  <c r="A27" i="3"/>
  <c r="A26" i="3"/>
  <c r="H25" i="3"/>
  <c r="C25" i="3"/>
  <c r="A25" i="3"/>
  <c r="I24" i="3"/>
  <c r="A24" i="3"/>
  <c r="I23" i="3"/>
  <c r="E23" i="3"/>
  <c r="B23" i="3"/>
  <c r="A23" i="3"/>
  <c r="A22" i="3"/>
  <c r="A21" i="3"/>
  <c r="A20" i="3"/>
  <c r="A19" i="3"/>
  <c r="A18" i="3"/>
  <c r="A17" i="3"/>
  <c r="I16" i="3"/>
  <c r="A16" i="3"/>
  <c r="A15" i="3"/>
  <c r="A14" i="3"/>
  <c r="D13" i="3"/>
  <c r="A13" i="3"/>
  <c r="E12" i="3"/>
  <c r="A12" i="3"/>
  <c r="A11" i="3"/>
  <c r="G10" i="3"/>
  <c r="A10" i="3"/>
  <c r="A9" i="3"/>
  <c r="A8" i="3"/>
  <c r="A7" i="3"/>
  <c r="C6" i="3"/>
  <c r="A6" i="3"/>
  <c r="D5" i="3"/>
  <c r="A5" i="3"/>
  <c r="A4" i="3"/>
  <c r="I3" i="3"/>
  <c r="H3" i="3"/>
  <c r="G3" i="3"/>
  <c r="F3" i="3"/>
  <c r="E3" i="3"/>
  <c r="D3" i="3"/>
  <c r="C3" i="3"/>
  <c r="B3" i="3"/>
  <c r="I2" i="3"/>
  <c r="H2" i="3"/>
  <c r="G2" i="3"/>
  <c r="F2" i="3"/>
  <c r="E2" i="3"/>
  <c r="D2" i="3"/>
  <c r="C2" i="3"/>
  <c r="B2" i="3"/>
  <c r="A2" i="3"/>
  <c r="AB27" i="2"/>
  <c r="Z27" i="2"/>
  <c r="AB26" i="2"/>
  <c r="AB25" i="2"/>
  <c r="L27" i="4" s="1"/>
  <c r="AA25" i="2"/>
  <c r="Z25" i="2"/>
  <c r="F25" i="3" s="1"/>
  <c r="AB24" i="2"/>
  <c r="L107" i="4" s="1"/>
  <c r="AA24" i="2"/>
  <c r="Z24" i="2"/>
  <c r="G24" i="3" s="1"/>
  <c r="AB23" i="2"/>
  <c r="AA23" i="2"/>
  <c r="Z23" i="2"/>
  <c r="H23" i="3" s="1"/>
  <c r="AB22" i="2"/>
  <c r="Z22" i="2" s="1"/>
  <c r="H24" i="4"/>
  <c r="E105" i="4"/>
  <c r="D105" i="4"/>
  <c r="C105" i="4"/>
  <c r="B24" i="4"/>
  <c r="AB21" i="2"/>
  <c r="L104" i="4" s="1"/>
  <c r="AA21" i="2"/>
  <c r="Z21" i="2"/>
  <c r="I104" i="4"/>
  <c r="G23" i="4"/>
  <c r="E23" i="4"/>
  <c r="D104" i="4"/>
  <c r="C104" i="4"/>
  <c r="AB20" i="2"/>
  <c r="L103" i="4" s="1"/>
  <c r="I103" i="4"/>
  <c r="H103" i="4"/>
  <c r="D103" i="4"/>
  <c r="B103" i="4"/>
  <c r="AB19" i="2"/>
  <c r="I21" i="4"/>
  <c r="H102" i="4"/>
  <c r="E102" i="4"/>
  <c r="AB18" i="2"/>
  <c r="D20" i="4"/>
  <c r="C101" i="4"/>
  <c r="AB17" i="2"/>
  <c r="AB16" i="2"/>
  <c r="L99" i="4" s="1"/>
  <c r="Z16" i="2"/>
  <c r="I99" i="4"/>
  <c r="H99" i="4"/>
  <c r="D99" i="4"/>
  <c r="B99" i="4"/>
  <c r="AB15" i="2"/>
  <c r="Z15" i="2" s="1"/>
  <c r="AB14" i="2"/>
  <c r="AB13" i="2"/>
  <c r="L96" i="4" s="1"/>
  <c r="Z13" i="2"/>
  <c r="B13" i="3" s="1"/>
  <c r="AB12" i="2"/>
  <c r="L95" i="4" s="1"/>
  <c r="Z12" i="2"/>
  <c r="AB11" i="2"/>
  <c r="AB10" i="2"/>
  <c r="L12" i="4" s="1"/>
  <c r="Z10" i="2"/>
  <c r="E10" i="3" s="1"/>
  <c r="E93" i="4"/>
  <c r="D12" i="4"/>
  <c r="C93" i="4"/>
  <c r="AB9" i="2"/>
  <c r="L38" i="4" s="1"/>
  <c r="Z9" i="2"/>
  <c r="H9" i="3" s="1"/>
  <c r="I92" i="4"/>
  <c r="D92" i="4"/>
  <c r="C11" i="4"/>
  <c r="B92" i="4"/>
  <c r="AB8" i="2"/>
  <c r="I91" i="4"/>
  <c r="H91" i="4"/>
  <c r="G91" i="4"/>
  <c r="B91" i="4"/>
  <c r="AB7" i="2"/>
  <c r="H90" i="4"/>
  <c r="G90" i="4"/>
  <c r="E90" i="4"/>
  <c r="B90" i="4"/>
  <c r="AB6" i="2"/>
  <c r="L8" i="4" s="1"/>
  <c r="M8" i="4" s="1"/>
  <c r="N8" i="4" s="1"/>
  <c r="Z6" i="2"/>
  <c r="I6" i="3" s="1"/>
  <c r="H89" i="4"/>
  <c r="D89" i="4"/>
  <c r="C89" i="4"/>
  <c r="B8" i="4"/>
  <c r="AB5" i="2"/>
  <c r="L88" i="4" s="1"/>
  <c r="Z5" i="2"/>
  <c r="B5" i="3" s="1"/>
  <c r="I88" i="4"/>
  <c r="G7" i="4"/>
  <c r="D88" i="4"/>
  <c r="C88" i="4"/>
  <c r="B88" i="4"/>
  <c r="AB4" i="2"/>
  <c r="L87" i="4" s="1"/>
  <c r="J6" i="4" l="1"/>
  <c r="J25" i="4"/>
  <c r="J29" i="4"/>
  <c r="J39" i="4"/>
  <c r="K39" i="4" s="1"/>
  <c r="M39" i="4" s="1"/>
  <c r="N39" i="4" s="1"/>
  <c r="J45" i="4"/>
  <c r="K45" i="4" s="1"/>
  <c r="J52" i="4"/>
  <c r="K52" i="4" s="1"/>
  <c r="J63" i="4"/>
  <c r="K63" i="4" s="1"/>
  <c r="J87" i="4"/>
  <c r="M87" i="4" s="1"/>
  <c r="N87" i="4" s="1"/>
  <c r="J94" i="4"/>
  <c r="J53" i="4"/>
  <c r="K53" i="4" s="1"/>
  <c r="J26" i="4"/>
  <c r="J33" i="4"/>
  <c r="K33" i="4" s="1"/>
  <c r="J40" i="4"/>
  <c r="K40" i="4" s="1"/>
  <c r="J65" i="4"/>
  <c r="K65" i="4" s="1"/>
  <c r="M65" i="4" s="1"/>
  <c r="N65" i="4" s="1"/>
  <c r="J71" i="4"/>
  <c r="K71" i="4" s="1"/>
  <c r="J79" i="4"/>
  <c r="K79" i="4" s="1"/>
  <c r="J96" i="4"/>
  <c r="J17" i="4"/>
  <c r="J64" i="4"/>
  <c r="K64" i="4" s="1"/>
  <c r="J14" i="4"/>
  <c r="J34" i="4"/>
  <c r="K34" i="4" s="1"/>
  <c r="J41" i="4"/>
  <c r="K41" i="4" s="1"/>
  <c r="M41" i="4" s="1"/>
  <c r="N41" i="4" s="1"/>
  <c r="J48" i="4"/>
  <c r="K48" i="4" s="1"/>
  <c r="M48" i="4" s="1"/>
  <c r="N48" i="4" s="1"/>
  <c r="J55" i="4"/>
  <c r="K55" i="4" s="1"/>
  <c r="M55" i="4" s="1"/>
  <c r="N55" i="4" s="1"/>
  <c r="J72" i="4"/>
  <c r="K72" i="4" s="1"/>
  <c r="J80" i="4"/>
  <c r="K80" i="4" s="1"/>
  <c r="J97" i="4"/>
  <c r="J13" i="4"/>
  <c r="J49" i="4"/>
  <c r="K49" i="4" s="1"/>
  <c r="M49" i="4" s="1"/>
  <c r="N49" i="4" s="1"/>
  <c r="J56" i="4"/>
  <c r="K56" i="4" s="1"/>
  <c r="J81" i="4"/>
  <c r="K81" i="4" s="1"/>
  <c r="M81" i="4" s="1"/>
  <c r="N81" i="4" s="1"/>
  <c r="J98" i="4"/>
  <c r="M98" i="4" s="1"/>
  <c r="N98" i="4" s="1"/>
  <c r="J27" i="4"/>
  <c r="J15" i="4"/>
  <c r="J36" i="4"/>
  <c r="K36" i="4" s="1"/>
  <c r="J60" i="4"/>
  <c r="K60" i="4" s="1"/>
  <c r="J67" i="4"/>
  <c r="K67" i="4" s="1"/>
  <c r="M67" i="4" s="1"/>
  <c r="N67" i="4" s="1"/>
  <c r="J74" i="4"/>
  <c r="K74" i="4" s="1"/>
  <c r="J28" i="4"/>
  <c r="J37" i="4"/>
  <c r="K37" i="4" s="1"/>
  <c r="M37" i="4" s="1"/>
  <c r="N37" i="4" s="1"/>
  <c r="J68" i="4"/>
  <c r="K68" i="4" s="1"/>
  <c r="M68" i="4" s="1"/>
  <c r="N68" i="4" s="1"/>
  <c r="J75" i="4"/>
  <c r="K75" i="4" s="1"/>
  <c r="E89" i="4"/>
  <c r="E8" i="4"/>
  <c r="B104" i="4"/>
  <c r="B23" i="4"/>
  <c r="I24" i="4"/>
  <c r="I105" i="4"/>
  <c r="M12" i="4"/>
  <c r="N12" i="4" s="1"/>
  <c r="M38" i="4"/>
  <c r="N38" i="4" s="1"/>
  <c r="H7" i="4"/>
  <c r="H88" i="4"/>
  <c r="M64" i="4"/>
  <c r="N64" i="4" s="1"/>
  <c r="L70" i="4"/>
  <c r="L43" i="4"/>
  <c r="L97" i="4"/>
  <c r="L16" i="4"/>
  <c r="M16" i="4" s="1"/>
  <c r="N16" i="4" s="1"/>
  <c r="Z14" i="2"/>
  <c r="J103" i="4"/>
  <c r="M103" i="4" s="1"/>
  <c r="N103" i="4" s="1"/>
  <c r="M33" i="4"/>
  <c r="N33" i="4" s="1"/>
  <c r="I22" i="3"/>
  <c r="H22" i="3"/>
  <c r="G22" i="3"/>
  <c r="F22" i="3"/>
  <c r="C22" i="3"/>
  <c r="E22" i="3"/>
  <c r="AA22" i="2"/>
  <c r="D22" i="3"/>
  <c r="B22" i="3"/>
  <c r="L102" i="4"/>
  <c r="L75" i="4"/>
  <c r="L48" i="4"/>
  <c r="L21" i="4"/>
  <c r="M21" i="4" s="1"/>
  <c r="N21" i="4" s="1"/>
  <c r="Z19" i="2"/>
  <c r="F9" i="3"/>
  <c r="E9" i="3"/>
  <c r="D9" i="3"/>
  <c r="C9" i="3"/>
  <c r="B9" i="3"/>
  <c r="I9" i="3"/>
  <c r="AA9" i="2"/>
  <c r="G9" i="3"/>
  <c r="H15" i="3"/>
  <c r="AA15" i="2"/>
  <c r="G15" i="3"/>
  <c r="F15" i="3"/>
  <c r="E15" i="3"/>
  <c r="D15" i="3"/>
  <c r="C15" i="3"/>
  <c r="I15" i="3"/>
  <c r="B15" i="3"/>
  <c r="M97" i="4"/>
  <c r="N97" i="4" s="1"/>
  <c r="L63" i="4"/>
  <c r="L36" i="4"/>
  <c r="L9" i="4"/>
  <c r="M9" i="4" s="1"/>
  <c r="N9" i="4" s="1"/>
  <c r="Z7" i="2"/>
  <c r="L90" i="4"/>
  <c r="G99" i="4"/>
  <c r="G18" i="4"/>
  <c r="L91" i="4"/>
  <c r="L64" i="4"/>
  <c r="Z8" i="2"/>
  <c r="L37" i="4"/>
  <c r="L10" i="4"/>
  <c r="M10" i="4" s="1"/>
  <c r="N10" i="4" s="1"/>
  <c r="B102" i="4"/>
  <c r="B21" i="4"/>
  <c r="L100" i="4"/>
  <c r="Z17" i="2"/>
  <c r="L73" i="4"/>
  <c r="L19" i="4"/>
  <c r="L46" i="4"/>
  <c r="M36" i="4"/>
  <c r="N36" i="4" s="1"/>
  <c r="H93" i="4"/>
  <c r="H12" i="4"/>
  <c r="G16" i="3"/>
  <c r="D27" i="3"/>
  <c r="C27" i="3"/>
  <c r="B27" i="3"/>
  <c r="I27" i="3"/>
  <c r="F27" i="3"/>
  <c r="H27" i="3"/>
  <c r="G27" i="3"/>
  <c r="AA27" i="2"/>
  <c r="E27" i="3"/>
  <c r="C9" i="4"/>
  <c r="C90" i="4"/>
  <c r="C12" i="3"/>
  <c r="B12" i="3"/>
  <c r="I12" i="3"/>
  <c r="H12" i="3"/>
  <c r="G12" i="3"/>
  <c r="F12" i="3"/>
  <c r="AA12" i="2"/>
  <c r="D12" i="3"/>
  <c r="B21" i="3"/>
  <c r="M75" i="4"/>
  <c r="N75" i="4" s="1"/>
  <c r="G93" i="4"/>
  <c r="G12" i="4"/>
  <c r="L94" i="4"/>
  <c r="L67" i="4"/>
  <c r="L40" i="4"/>
  <c r="M40" i="4" s="1"/>
  <c r="N40" i="4" s="1"/>
  <c r="L13" i="4"/>
  <c r="M13" i="4" s="1"/>
  <c r="N13" i="4" s="1"/>
  <c r="E99" i="4"/>
  <c r="E18" i="4"/>
  <c r="L101" i="4"/>
  <c r="L74" i="4"/>
  <c r="M74" i="4" s="1"/>
  <c r="N74" i="4" s="1"/>
  <c r="L47" i="4"/>
  <c r="L109" i="4"/>
  <c r="L82" i="4"/>
  <c r="L55" i="4"/>
  <c r="C5" i="3"/>
  <c r="B6" i="3"/>
  <c r="F10" i="3"/>
  <c r="C13" i="3"/>
  <c r="H16" i="3"/>
  <c r="C21" i="3"/>
  <c r="H24" i="3"/>
  <c r="G25" i="3"/>
  <c r="L6" i="4"/>
  <c r="E9" i="4"/>
  <c r="I11" i="4"/>
  <c r="E12" i="4"/>
  <c r="B18" i="4"/>
  <c r="L18" i="4"/>
  <c r="L24" i="4"/>
  <c r="M24" i="4" s="1"/>
  <c r="N24" i="4" s="1"/>
  <c r="B89" i="4"/>
  <c r="C92" i="4"/>
  <c r="D21" i="3"/>
  <c r="M94" i="4"/>
  <c r="N94" i="4" s="1"/>
  <c r="Z4" i="2"/>
  <c r="G89" i="4"/>
  <c r="G8" i="4"/>
  <c r="D9" i="4"/>
  <c r="D90" i="4"/>
  <c r="I93" i="4"/>
  <c r="I12" i="4"/>
  <c r="B101" i="4"/>
  <c r="B20" i="4"/>
  <c r="C102" i="4"/>
  <c r="C21" i="4"/>
  <c r="E5" i="3"/>
  <c r="D6" i="3"/>
  <c r="H10" i="3"/>
  <c r="E13" i="3"/>
  <c r="B16" i="3"/>
  <c r="E21" i="3"/>
  <c r="C23" i="3"/>
  <c r="B24" i="3"/>
  <c r="I25" i="3"/>
  <c r="B7" i="4"/>
  <c r="L7" i="4"/>
  <c r="G9" i="4"/>
  <c r="H22" i="4"/>
  <c r="D23" i="4"/>
  <c r="C24" i="4"/>
  <c r="L26" i="4"/>
  <c r="M26" i="4" s="1"/>
  <c r="N26" i="4" s="1"/>
  <c r="L28" i="4"/>
  <c r="M28" i="4" s="1"/>
  <c r="N28" i="4" s="1"/>
  <c r="J35" i="4"/>
  <c r="K35" i="4" s="1"/>
  <c r="M35" i="4" s="1"/>
  <c r="N35" i="4" s="1"/>
  <c r="L35" i="4"/>
  <c r="J62" i="4"/>
  <c r="K62" i="4" s="1"/>
  <c r="J78" i="4"/>
  <c r="K78" i="4" s="1"/>
  <c r="I102" i="4"/>
  <c r="B105" i="4"/>
  <c r="J107" i="4"/>
  <c r="M107" i="4" s="1"/>
  <c r="N107" i="4" s="1"/>
  <c r="L110" i="4"/>
  <c r="L83" i="4"/>
  <c r="M83" i="4" s="1"/>
  <c r="N83" i="4" s="1"/>
  <c r="L56" i="4"/>
  <c r="M56" i="4" s="1"/>
  <c r="N56" i="4" s="1"/>
  <c r="L29" i="4"/>
  <c r="M29" i="4" s="1"/>
  <c r="N29" i="4" s="1"/>
  <c r="F5" i="3"/>
  <c r="E6" i="3"/>
  <c r="I10" i="3"/>
  <c r="F13" i="3"/>
  <c r="C16" i="3"/>
  <c r="F21" i="3"/>
  <c r="D23" i="3"/>
  <c r="C24" i="3"/>
  <c r="B25" i="3"/>
  <c r="C7" i="4"/>
  <c r="H9" i="4"/>
  <c r="L11" i="4"/>
  <c r="M11" i="4" s="1"/>
  <c r="N11" i="4" s="1"/>
  <c r="L15" i="4"/>
  <c r="M15" i="4" s="1"/>
  <c r="N15" i="4" s="1"/>
  <c r="M19" i="4"/>
  <c r="N19" i="4" s="1"/>
  <c r="E21" i="4"/>
  <c r="I22" i="4"/>
  <c r="D24" i="4"/>
  <c r="L33" i="4"/>
  <c r="J42" i="4"/>
  <c r="K42" i="4" s="1"/>
  <c r="J47" i="4"/>
  <c r="K47" i="4" s="1"/>
  <c r="M47" i="4" s="1"/>
  <c r="N47" i="4" s="1"/>
  <c r="J50" i="4"/>
  <c r="K50" i="4" s="1"/>
  <c r="M50" i="4" s="1"/>
  <c r="N50" i="4" s="1"/>
  <c r="L50" i="4"/>
  <c r="L53" i="4"/>
  <c r="M53" i="4" s="1"/>
  <c r="N53" i="4" s="1"/>
  <c r="J69" i="4"/>
  <c r="K69" i="4" s="1"/>
  <c r="M69" i="4" s="1"/>
  <c r="N69" i="4" s="1"/>
  <c r="L69" i="4"/>
  <c r="L72" i="4"/>
  <c r="M72" i="4" s="1"/>
  <c r="N72" i="4" s="1"/>
  <c r="L92" i="4"/>
  <c r="J108" i="4"/>
  <c r="L108" i="4"/>
  <c r="I8" i="4"/>
  <c r="I89" i="4"/>
  <c r="B93" i="4"/>
  <c r="B12" i="4"/>
  <c r="L71" i="4"/>
  <c r="M71" i="4" s="1"/>
  <c r="N71" i="4" s="1"/>
  <c r="L44" i="4"/>
  <c r="M44" i="4" s="1"/>
  <c r="N44" i="4" s="1"/>
  <c r="L17" i="4"/>
  <c r="M17" i="4" s="1"/>
  <c r="N17" i="4" s="1"/>
  <c r="L78" i="4"/>
  <c r="L51" i="4"/>
  <c r="L105" i="4"/>
  <c r="G5" i="3"/>
  <c r="F6" i="3"/>
  <c r="B10" i="3"/>
  <c r="G13" i="3"/>
  <c r="D16" i="3"/>
  <c r="G21" i="3"/>
  <c r="D24" i="3"/>
  <c r="D7" i="4"/>
  <c r="B11" i="4"/>
  <c r="H18" i="4"/>
  <c r="B22" i="4"/>
  <c r="I23" i="4"/>
  <c r="E24" i="4"/>
  <c r="L42" i="4"/>
  <c r="J66" i="4"/>
  <c r="K66" i="4" s="1"/>
  <c r="J82" i="4"/>
  <c r="K82" i="4" s="1"/>
  <c r="H105" i="4"/>
  <c r="M7" i="4"/>
  <c r="N7" i="4" s="1"/>
  <c r="E92" i="4"/>
  <c r="E11" i="4"/>
  <c r="L93" i="4"/>
  <c r="L66" i="4"/>
  <c r="AA13" i="2"/>
  <c r="AA16" i="2"/>
  <c r="G101" i="4"/>
  <c r="G20" i="4"/>
  <c r="H5" i="3"/>
  <c r="G6" i="3"/>
  <c r="C10" i="3"/>
  <c r="H13" i="3"/>
  <c r="E16" i="3"/>
  <c r="H21" i="3"/>
  <c r="F23" i="3"/>
  <c r="E24" i="3"/>
  <c r="D25" i="3"/>
  <c r="C8" i="4"/>
  <c r="G10" i="4"/>
  <c r="I18" i="4"/>
  <c r="M27" i="4"/>
  <c r="N27" i="4" s="1"/>
  <c r="L45" i="4"/>
  <c r="M45" i="4" s="1"/>
  <c r="N45" i="4" s="1"/>
  <c r="J54" i="4"/>
  <c r="K54" i="4" s="1"/>
  <c r="M54" i="4" s="1"/>
  <c r="N54" i="4" s="1"/>
  <c r="L54" i="4"/>
  <c r="L60" i="4"/>
  <c r="M60" i="4" s="1"/>
  <c r="N60" i="4" s="1"/>
  <c r="J73" i="4"/>
  <c r="K73" i="4" s="1"/>
  <c r="M73" i="4" s="1"/>
  <c r="N73" i="4" s="1"/>
  <c r="L76" i="4"/>
  <c r="M76" i="4" s="1"/>
  <c r="N76" i="4" s="1"/>
  <c r="G88" i="4"/>
  <c r="D93" i="4"/>
  <c r="M96" i="4"/>
  <c r="N96" i="4" s="1"/>
  <c r="E104" i="4"/>
  <c r="J109" i="4"/>
  <c r="M109" i="4" s="1"/>
  <c r="N109" i="4" s="1"/>
  <c r="C91" i="4"/>
  <c r="J91" i="4" s="1"/>
  <c r="M91" i="4" s="1"/>
  <c r="N91" i="4" s="1"/>
  <c r="C10" i="4"/>
  <c r="AA10" i="2"/>
  <c r="J88" i="4"/>
  <c r="M88" i="4" s="1"/>
  <c r="N88" i="4" s="1"/>
  <c r="AA6" i="2"/>
  <c r="G92" i="4"/>
  <c r="G11" i="4"/>
  <c r="Z11" i="2"/>
  <c r="C99" i="4"/>
  <c r="J99" i="4" s="1"/>
  <c r="M99" i="4" s="1"/>
  <c r="N99" i="4" s="1"/>
  <c r="C18" i="4"/>
  <c r="Z20" i="2"/>
  <c r="H23" i="4"/>
  <c r="H104" i="4"/>
  <c r="Z26" i="2"/>
  <c r="I5" i="3"/>
  <c r="H6" i="3"/>
  <c r="D10" i="3"/>
  <c r="I13" i="3"/>
  <c r="F16" i="3"/>
  <c r="I21" i="3"/>
  <c r="G23" i="3"/>
  <c r="F24" i="3"/>
  <c r="E25" i="3"/>
  <c r="D8" i="4"/>
  <c r="H10" i="4"/>
  <c r="D11" i="4"/>
  <c r="C12" i="4"/>
  <c r="J16" i="4"/>
  <c r="L20" i="4"/>
  <c r="M20" i="4" s="1"/>
  <c r="N20" i="4" s="1"/>
  <c r="H21" i="4"/>
  <c r="D22" i="4"/>
  <c r="L22" i="4"/>
  <c r="M22" i="4" s="1"/>
  <c r="N22" i="4" s="1"/>
  <c r="M23" i="4"/>
  <c r="N23" i="4" s="1"/>
  <c r="J51" i="4"/>
  <c r="K51" i="4" s="1"/>
  <c r="M51" i="4" s="1"/>
  <c r="N51" i="4" s="1"/>
  <c r="J70" i="4"/>
  <c r="K70" i="4" s="1"/>
  <c r="M70" i="4" s="1"/>
  <c r="N70" i="4" s="1"/>
  <c r="D102" i="4"/>
  <c r="D21" i="4"/>
  <c r="AA5" i="2"/>
  <c r="I90" i="4"/>
  <c r="I9" i="4"/>
  <c r="Z18" i="2"/>
  <c r="L62" i="4"/>
  <c r="L89" i="4"/>
  <c r="H92" i="4"/>
  <c r="H11" i="4"/>
  <c r="G105" i="4"/>
  <c r="G24" i="4"/>
  <c r="L79" i="4"/>
  <c r="L52" i="4"/>
  <c r="M52" i="4" s="1"/>
  <c r="N52" i="4" s="1"/>
  <c r="L25" i="4"/>
  <c r="M25" i="4" s="1"/>
  <c r="N25" i="4" s="1"/>
  <c r="M6" i="4"/>
  <c r="I7" i="4"/>
  <c r="B9" i="4"/>
  <c r="I10" i="4"/>
  <c r="L14" i="4"/>
  <c r="M14" i="4" s="1"/>
  <c r="N14" i="4" s="1"/>
  <c r="M18" i="4"/>
  <c r="N18" i="4" s="1"/>
  <c r="C20" i="4"/>
  <c r="L23" i="4"/>
  <c r="L34" i="4"/>
  <c r="M34" i="4" s="1"/>
  <c r="N34" i="4" s="1"/>
  <c r="J43" i="4"/>
  <c r="K43" i="4" s="1"/>
  <c r="M43" i="4" s="1"/>
  <c r="N43" i="4" s="1"/>
  <c r="J46" i="4"/>
  <c r="K46" i="4" s="1"/>
  <c r="M46" i="4" s="1"/>
  <c r="N46" i="4" s="1"/>
  <c r="J61" i="4"/>
  <c r="K61" i="4" s="1"/>
  <c r="M61" i="4" s="1"/>
  <c r="N61" i="4" s="1"/>
  <c r="L61" i="4"/>
  <c r="J77" i="4"/>
  <c r="K77" i="4" s="1"/>
  <c r="L77" i="4"/>
  <c r="L80" i="4"/>
  <c r="M80" i="4" s="1"/>
  <c r="N80" i="4" s="1"/>
  <c r="J100" i="4"/>
  <c r="M100" i="4" s="1"/>
  <c r="N100" i="4" s="1"/>
  <c r="G104" i="4"/>
  <c r="J106" i="4"/>
  <c r="L106" i="4"/>
  <c r="J110" i="4"/>
  <c r="J10" i="4" l="1"/>
  <c r="J24" i="4"/>
  <c r="M63" i="4"/>
  <c r="N63" i="4" s="1"/>
  <c r="J92" i="4"/>
  <c r="M92" i="4" s="1"/>
  <c r="N92" i="4" s="1"/>
  <c r="M79" i="4"/>
  <c r="N79" i="4" s="1"/>
  <c r="J8" i="4"/>
  <c r="J90" i="4"/>
  <c r="M90" i="4" s="1"/>
  <c r="N90" i="4" s="1"/>
  <c r="M77" i="4"/>
  <c r="N77" i="4" s="1"/>
  <c r="D11" i="3"/>
  <c r="AA11" i="2"/>
  <c r="C11" i="3"/>
  <c r="B11" i="3"/>
  <c r="I11" i="3"/>
  <c r="H11" i="3"/>
  <c r="G11" i="3"/>
  <c r="E11" i="3"/>
  <c r="F11" i="3"/>
  <c r="M108" i="4"/>
  <c r="N108" i="4" s="1"/>
  <c r="F17" i="3"/>
  <c r="E17" i="3"/>
  <c r="D17" i="3"/>
  <c r="C17" i="3"/>
  <c r="B17" i="3"/>
  <c r="I17" i="3"/>
  <c r="H17" i="3"/>
  <c r="G17" i="3"/>
  <c r="AA17" i="2"/>
  <c r="M110" i="4"/>
  <c r="N110" i="4" s="1"/>
  <c r="M42" i="4"/>
  <c r="N42" i="4" s="1"/>
  <c r="J7" i="4"/>
  <c r="J18" i="4"/>
  <c r="J21" i="4"/>
  <c r="I14" i="3"/>
  <c r="C14" i="3"/>
  <c r="H14" i="3"/>
  <c r="G14" i="3"/>
  <c r="F14" i="3"/>
  <c r="E14" i="3"/>
  <c r="D14" i="3"/>
  <c r="B14" i="3"/>
  <c r="AA14" i="2"/>
  <c r="C4" i="3"/>
  <c r="AA4" i="2"/>
  <c r="B4" i="3"/>
  <c r="I4" i="3"/>
  <c r="H4" i="3"/>
  <c r="G4" i="3"/>
  <c r="F4" i="3"/>
  <c r="D4" i="3"/>
  <c r="E4" i="3"/>
  <c r="E26" i="3"/>
  <c r="AA26" i="2"/>
  <c r="D26" i="3"/>
  <c r="C26" i="3"/>
  <c r="B26" i="3"/>
  <c r="I26" i="3"/>
  <c r="H26" i="3"/>
  <c r="G26" i="3"/>
  <c r="F26" i="3"/>
  <c r="J22" i="4"/>
  <c r="J105" i="4"/>
  <c r="M105" i="4" s="1"/>
  <c r="N105" i="4" s="1"/>
  <c r="J102" i="4"/>
  <c r="M102" i="4" s="1"/>
  <c r="N102" i="4" s="1"/>
  <c r="M106" i="4"/>
  <c r="N106" i="4" s="1"/>
  <c r="J12" i="4"/>
  <c r="J23" i="4"/>
  <c r="J11" i="4"/>
  <c r="J93" i="4"/>
  <c r="M93" i="4" s="1"/>
  <c r="N93" i="4" s="1"/>
  <c r="M78" i="4"/>
  <c r="N78" i="4" s="1"/>
  <c r="J89" i="4"/>
  <c r="M89" i="4" s="1"/>
  <c r="N89" i="4" s="1"/>
  <c r="H7" i="3"/>
  <c r="G7" i="3"/>
  <c r="F7" i="3"/>
  <c r="E7" i="3"/>
  <c r="D7" i="3"/>
  <c r="C7" i="3"/>
  <c r="I7" i="3"/>
  <c r="AA7" i="2"/>
  <c r="B7" i="3"/>
  <c r="J104" i="4"/>
  <c r="M104" i="4" s="1"/>
  <c r="N104" i="4" s="1"/>
  <c r="N6" i="4"/>
  <c r="C20" i="3"/>
  <c r="AA20" i="2"/>
  <c r="B20" i="3"/>
  <c r="I20" i="3"/>
  <c r="H20" i="3"/>
  <c r="E20" i="3"/>
  <c r="G20" i="3"/>
  <c r="F20" i="3"/>
  <c r="D20" i="3"/>
  <c r="M82" i="4"/>
  <c r="N82" i="4" s="1"/>
  <c r="M62" i="4"/>
  <c r="N62" i="4" s="1"/>
  <c r="J20" i="4"/>
  <c r="G8" i="3"/>
  <c r="F8" i="3"/>
  <c r="E8" i="3"/>
  <c r="D8" i="3"/>
  <c r="C8" i="3"/>
  <c r="B8" i="3"/>
  <c r="H8" i="3"/>
  <c r="AA8" i="2"/>
  <c r="I8" i="3"/>
  <c r="E18" i="3"/>
  <c r="AA18" i="2"/>
  <c r="D18" i="3"/>
  <c r="C18" i="3"/>
  <c r="B18" i="3"/>
  <c r="G18" i="3"/>
  <c r="I18" i="3"/>
  <c r="H18" i="3"/>
  <c r="F18" i="3"/>
  <c r="J9" i="4"/>
  <c r="M66" i="4"/>
  <c r="N66" i="4" s="1"/>
  <c r="J101" i="4"/>
  <c r="M101" i="4" s="1"/>
  <c r="N101" i="4" s="1"/>
  <c r="D19" i="3"/>
  <c r="C19" i="3"/>
  <c r="F19" i="3"/>
  <c r="B19" i="3"/>
  <c r="I19" i="3"/>
  <c r="H19" i="3"/>
  <c r="G19" i="3"/>
  <c r="E19" i="3"/>
  <c r="AA19" i="2"/>
  <c r="G28" i="3" l="1"/>
  <c r="G29" i="3" s="1"/>
  <c r="H28" i="3"/>
  <c r="H29" i="3" s="1"/>
  <c r="I28" i="3"/>
  <c r="I29" i="3" s="1"/>
  <c r="B28" i="3"/>
  <c r="B29" i="3" s="1"/>
  <c r="E28" i="3"/>
  <c r="E29" i="3" s="1"/>
  <c r="C28" i="3"/>
  <c r="C29" i="3" s="1"/>
  <c r="N113" i="4"/>
  <c r="D28" i="3"/>
  <c r="D29" i="3" s="1"/>
  <c r="M112" i="4"/>
  <c r="F28" i="3"/>
  <c r="F29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E5" authorId="0" shapeId="0" xr:uid="{00000000-0006-0000-0100-000001000000}">
      <text>
        <r>
          <rPr>
            <sz val="10"/>
            <rFont val="Arial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Source: National Bank of Georgia, official exchange rate, 21.10.2026, https://nbg.gov.ge/en/monetary-policy/currency</t>
        </r>
      </text>
    </comment>
    <comment ref="AE6" authorId="0" shapeId="0" xr:uid="{00000000-0006-0000-0100-000002000000}">
      <text>
        <r>
          <rPr>
            <sz val="10"/>
            <rFont val="Arial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Source: National Bank of Georgia, official exchange rate, 21.10.2026, https://nbg.gov.ge/en/monetary-policy/currency</t>
        </r>
      </text>
    </comment>
  </commentList>
</comments>
</file>

<file path=xl/sharedStrings.xml><?xml version="1.0" encoding="utf-8"?>
<sst xmlns="http://schemas.openxmlformats.org/spreadsheetml/2006/main" count="178" uniqueCount="131">
  <si>
    <t>ინსტრუქცია მომწოდებლისთვის — სველი ბიოქიმიის რეაგენტები (რეაგენტ-კონტრაქტი, 24 თვე)</t>
  </si>
  <si>
    <t>ტენდერის პირობები</t>
  </si>
  <si>
    <t>• ხელშეკრულება — რეაგენტ-კონტრაქტი 24 თვის ვადით.</t>
  </si>
  <si>
    <t>• მომწოდებელი უფასოდ დგამს ანალიზატორს ყველა 8 კლინიკაში (ინსტალაცია, სერვისი, სათადარიგო ნაწილები, ტრენინგი, LIS ინტეგრაცია).</t>
  </si>
  <si>
    <t>• მხოლოდ სველი (თხევადი) ქიმია, რეაგენტები ბალონებში.</t>
  </si>
  <si>
    <t>• ფასი ფიქსირდება ხელშეკრულების მთელ პერიოდზე. უცხოურ ვალუტაში მითითებული ფასი ლარში გადაიანგარიშება NBG-ის ოფიციალური კურსით, წინადადების წარდგენის ბოლო დღის მდგომარეობით.</t>
  </si>
  <si>
    <t>რა უნდა შეავსოთ — ფურცელი „მომწოდებლის ფორმა“, ერთი ცხრილი, თითო ანალიზზე ერთი სტრიქონი (მხოლოდ ყვითელი უჯრები; ნიმუში — მე-3 სტრიქონში)</t>
  </si>
  <si>
    <t>რეაგენტი:</t>
  </si>
  <si>
    <t>• ბალონების რაოდენობა შეფუთვაში და 1 ბალონის მოცულობა (ml). ორკომპონენტიანის (R1+R2) შემთხვევაში მიუთითეთ R1 ბალონები.</t>
  </si>
  <si>
    <t>• ტესტების რაოდენობა 1 ბალონზე — რეალურად, თქვენს ანალიზატორზე, მკვდარი მოცულობის გამოკლებით.</t>
  </si>
  <si>
    <t>• შეფუთვის ფასი დღგ-ით; ვალუტა (GEL / USD / EUR) — ერთი მთელი სტრიქონისთვის.</t>
  </si>
  <si>
    <t>• გახსნილი ბალონის ბორტზე სტაბილურობა (დღე) და კალიბრაციის სიხშირე — IFU-ს მიხედვით.</t>
  </si>
  <si>
    <t>კალიბრატორი და კონტროლი:</t>
  </si>
  <si>
    <t>• თითოეულ ანალიზზე მიუთითეთ კალიბრატორის და კონტროლის კატალოგის №, შეფუთვის ფასი და რამდენ დღეს ყოფნის 1 შეფუთვა ერთ ანალიზატორს. კონტროლი ტარდება დღეში 2 დონით, ყოველდღე.</t>
  </si>
  <si>
    <t>• თუ კალიბრატორი ან კონტროლი რამდენიმე ანალიზისთვის საერთოა — ყველა შესაბამის ანალიზზე ჩაწერეთ იგივე კატალოგის №, ფასი და დღეები. ფორმა მის ხარჯს ერთხელ დაითვლის და გაანაწილებს ამ ანალიზებზე.</t>
  </si>
  <si>
    <t>სხვა:</t>
  </si>
  <si>
    <t>• გამრეცხი/სისტემური ხსნარი, კიუვეტები და სხვა სახარჯი — 1 ტესტზე გადანაწილებული ღირებულება.</t>
  </si>
  <si>
    <t>• თუ ანალიზს არ თავაზობთ — სვეტში J ჩაწერეთ „არ ვთავაზობთ“.</t>
  </si>
  <si>
    <t>როგორ ითვლება ერთეული ანალიზის ფასი (ავტომატურად, ფურცელი „ფასი კლინიკებით“)</t>
  </si>
  <si>
    <t>ფასი ითვლება ცალკე თითოეული კლინიკისთვის, მისი რეალური დატვირთვით, და ერთ ციფრში აერთიანებს ყველა ხარჯს:</t>
  </si>
  <si>
    <t>1. რეაგენტი: ხარჯი = პაციენტის ანალიზები + კონტროლის გაზომვები + კალიბრაცია; ბალონი თვეში = ხარჯი ÷ ტესტები 1 ბალონზე, მაგრამ არანაკლებ 30 ÷ ბორტზე სტაბილურობა (გახსნილი ბალონის ჩამოწერა).</t>
  </si>
  <si>
    <t>2. კალიბრატორი და კონტროლი: თვიური ღირებულება 1 ანალიზატორზე, გაყოფილი იმ ანალიზების რაოდენობაზე, რომლებიც ამ პროდუქტს იყენებს.</t>
  </si>
  <si>
    <t>3. გამრეცხი და სხვა სახარჯი: 1 ტესტზე მითითებული ღირებულება.</t>
  </si>
  <si>
    <t>ერთეული ანალიზის ფასი = რეაგენტი + კალიბრატორი + კონტროლი + სხვა სახარჯი (1 ანალიზზე, ₾)</t>
  </si>
  <si>
    <t>დამატებით წარმოსადგენი (ერთხელ)</t>
  </si>
  <si>
    <t>• ანალიზატორი: მოდელი, წარმადობა (ტესტი/სთ), STAT რეჟიმი, მიწოდებისა და ინსტალაციის ვადა, სერვისის რეაგირების დრო.</t>
  </si>
  <si>
    <t>• ვარგისიანობის ნარჩენი ვადა მიწოდებისას — არანაკლებ 12 თვე ან საერთო ვადის 70%; ცივი ჯაჭვი (2–8°C) ტემპერატურის ლოგერით.</t>
  </si>
  <si>
    <t>• CE-IVD, ISO 13485, IFU და SDS დოკუმენტაცია; მიწოდების ვადა და დაზიანებული/ვადაგასული პროდუქციის შეცვლის ვალდებულება.</t>
  </si>
  <si>
    <t>კვლევის დასახელება</t>
  </si>
  <si>
    <t>ანალიზების რაოდენობა თვეში</t>
  </si>
  <si>
    <t>რეაგენტი</t>
  </si>
  <si>
    <t>კალიბრატორი (საერთოს შემთხვევაში — იგივე კატ. № ყველა შესაბამის ანალიზზე)</t>
  </si>
  <si>
    <t>კონტროლი (2 დონე, ყოველდღე; საერთოს შემთხვევაში — იგივე კატ. №)</t>
  </si>
  <si>
    <t>სხვა</t>
  </si>
  <si>
    <t>ავტომატური გამოთვლა</t>
  </si>
  <si>
    <t>ACH</t>
  </si>
  <si>
    <t>TLH</t>
  </si>
  <si>
    <t>XRH</t>
  </si>
  <si>
    <t>ZURH</t>
  </si>
  <si>
    <t>GRH</t>
  </si>
  <si>
    <t xml:space="preserve">KRH </t>
  </si>
  <si>
    <t>TCH</t>
  </si>
  <si>
    <t>QBH</t>
  </si>
  <si>
    <t>მწარმოებელი / კატალოგის № (თუ არ თავაზობთ — „არ ვთავაზობთ“)</t>
  </si>
  <si>
    <t>ბალონების რაოდენობა შეფუთვაში (ც)</t>
  </si>
  <si>
    <t>1 ბალონის მოცულობა (ml)</t>
  </si>
  <si>
    <t>ტესტების რაოდენობა 1 ბალონზე</t>
  </si>
  <si>
    <t>შეფუთვის ფასი (დღგ-ით)</t>
  </si>
  <si>
    <t>ვალუტა (მთელი სტრიქონისთვის)</t>
  </si>
  <si>
    <t>გახსნილი ბალონის ბორტზე სტაბილურობა (დღე)</t>
  </si>
  <si>
    <t>კალიბრაციის სიხშირე (ყოველ N დღეში)</t>
  </si>
  <si>
    <t>კალიბრატორის კატალოგის №</t>
  </si>
  <si>
    <t>კალიბრატორის შეფუთვის ფასი</t>
  </si>
  <si>
    <t>1 შეფუთვა ყოფნის 1 ანალიზატორს (დღე)</t>
  </si>
  <si>
    <t>კონტროლის კატალოგის №</t>
  </si>
  <si>
    <t>კონტროლის შეფუთვის ფასი</t>
  </si>
  <si>
    <t>გამრეცხი ხსნარი, კიუვეტები და სხვა სახარჯი 1 ტესტზე</t>
  </si>
  <si>
    <t>შენახვის ტემპერატურა (°C)</t>
  </si>
  <si>
    <t>1 ბალონის ფასი (₾)</t>
  </si>
  <si>
    <t>დეკლარირებული ფასი 1 ტესტზე (₾)</t>
  </si>
  <si>
    <t>NBG კურსი (₾)</t>
  </si>
  <si>
    <t>NBG ოფიციალური კურსი</t>
  </si>
  <si>
    <t xml:space="preserve"> ახალციხის რეფერალური ჰოსპიტალი </t>
  </si>
  <si>
    <t xml:space="preserve"> თელავის რეფერალური ჰოსპიტალი </t>
  </si>
  <si>
    <t xml:space="preserve"> ხაშურის კლინიკა </t>
  </si>
  <si>
    <t>ზუგდიდის რეფერალური ჰოსპიტალი</t>
  </si>
  <si>
    <t>გორის რეფერალური ჰოსპიტალი</t>
  </si>
  <si>
    <t>ქუთაისის რეფერალური ჰოსპიტალი</t>
  </si>
  <si>
    <t>ციციშვილის სახელობის ბავშვთა კლინიკა</t>
  </si>
  <si>
    <t xml:space="preserve"> ქობულეთის  ჰოსპიტალი</t>
  </si>
  <si>
    <t>მაგ.: Glucose / GLU-123</t>
  </si>
  <si>
    <t>GEL</t>
  </si>
  <si>
    <t>CAL-01</t>
  </si>
  <si>
    <t>CON-01</t>
  </si>
  <si>
    <t>2–8</t>
  </si>
  <si>
    <t>ფორმულა</t>
  </si>
  <si>
    <t>ვალუტა</t>
  </si>
  <si>
    <t>₾ 1 ერთეულზე</t>
  </si>
  <si>
    <t>ლიპაზის განსაზღვრა  - Lipase</t>
  </si>
  <si>
    <t>-</t>
  </si>
  <si>
    <t>გლუკოზა GLU G1</t>
  </si>
  <si>
    <t>USD</t>
  </si>
  <si>
    <t>ალანინ ამინოტრანსფერაზა ALT G1</t>
  </si>
  <si>
    <t>EUR</t>
  </si>
  <si>
    <t>ასპარტატ ამინოტრანსფერაზა AST G1</t>
  </si>
  <si>
    <t>კურსის თარიღი</t>
  </si>
  <si>
    <t>21.10.2026</t>
  </si>
  <si>
    <t>ალკალინ ფოსფატაზა ALP G1</t>
  </si>
  <si>
    <t>y-გლუტამილ ტრანსფერაზა GGT G1</t>
  </si>
  <si>
    <t>სრული  ბილირუბინი TBIL  G1</t>
  </si>
  <si>
    <t>სრული პროტეინი TP G1</t>
  </si>
  <si>
    <t>ალბუმინი ALB G1</t>
  </si>
  <si>
    <t>კრეატინინი Cr G1</t>
  </si>
  <si>
    <t>შარდოვანა Urea G1</t>
  </si>
  <si>
    <t>რკინა Fe G1</t>
  </si>
  <si>
    <t>რეაქტიული ცილა CRP G1</t>
  </si>
  <si>
    <t>a-ამილაზა AMY G1</t>
  </si>
  <si>
    <t>მაღალი სიმკვრივის ლიპოპროტეინ ქოლესტეროლი HDL-C G1</t>
  </si>
  <si>
    <t>დაბალი სიმკვრივის ლიპოპროტეინ ქოლესტეროლი LDL-C G1</t>
  </si>
  <si>
    <t>ტრიგლიცერიდი TG G1</t>
  </si>
  <si>
    <t>პირდაპირი ბილირუბინი DBIL G1</t>
  </si>
  <si>
    <t>სრული ქოლესტეროლი TC G1</t>
  </si>
  <si>
    <t>მაგნიუმი Mg</t>
  </si>
  <si>
    <t>კალციუმი Ca G1</t>
  </si>
  <si>
    <t>არაორგანული ფოსფორი PHOS G1</t>
  </si>
  <si>
    <t>რევმატოიდული ფაქტორი RF</t>
  </si>
  <si>
    <t>ანტისტრეპტოლიზინი - O  ASLO</t>
  </si>
  <si>
    <t>ერთეული ანალიზის რეალური ფასი თითოეულ კლინიკაში (₾) — ავტომატური, არ შეცვალოთ</t>
  </si>
  <si>
    <t>ხარჯი თვეში ამ კლინიკაში (₾)</t>
  </si>
  <si>
    <t>ხარჯი ხელშეკრულების პერიოდზე ამ კლინიკაში (₾)</t>
  </si>
  <si>
    <t>ჩვენი პარამეტრები (ავსებს შემსყიდველი)</t>
  </si>
  <si>
    <t>ხელშეკრულების ვადა (თვე)</t>
  </si>
  <si>
    <t>კონტროლის გაზომვები თვეში 1 ანალიზზე (ყველა დონე)</t>
  </si>
  <si>
    <t>ტესტები 1 კალიბრაციაზე</t>
  </si>
  <si>
    <t>შესასყიდი რაოდენობა და თანხა თვეში — ავტომატური, არ შეცვალოთ</t>
  </si>
  <si>
    <t>ითვლება მომწოდებლის ფორმიდან: პაციენტის ანალიზები + კონტროლი + კალიბრაცია, გახსნილი ბალონის ბორტზე სტაბილურობის გათვალისწინებით.</t>
  </si>
  <si>
    <t>1. რეაგენტი — ბალონი თვეში</t>
  </si>
  <si>
    <t>კვლევა</t>
  </si>
  <si>
    <t>სულ ბალონი</t>
  </si>
  <si>
    <t>შესაძენი შეფუთვა</t>
  </si>
  <si>
    <t>1 შეფუთვის ფასი (₾)</t>
  </si>
  <si>
    <t>თანხა თვეში (₾)</t>
  </si>
  <si>
    <t>თანხა ხელშეკრულების პერიოდზე (₾)</t>
  </si>
  <si>
    <t>2. კალიბრატორი — შეფუთვა თვეში (საერთო კალიბრატორი ითვლება ერთხელ)</t>
  </si>
  <si>
    <t>სულ შეფუთვა (ზუსტი)</t>
  </si>
  <si>
    <t>3. კონტროლი — შეფუთვა თვეში (საერთო კონტროლი ითვლება ერთხელ)</t>
  </si>
  <si>
    <t>4. გამრეცხი ხსნარი, კიუვეტები და სხვა სახარჯი</t>
  </si>
  <si>
    <t>სულ ანალიზი თვეში</t>
  </si>
  <si>
    <t>ფასი 1 ტესტზე (₾)</t>
  </si>
  <si>
    <t>სულ შესასყიდი თანხა — თვეში (₾)</t>
  </si>
  <si>
    <t>სულ შესასყიდი თანხა — ხელშეკრულების პერიოდზე (₾)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</si>
</sst>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\-??_);_(@_)"/>
    <numFmt numFmtId="165" formatCode="#,##0.000"/>
    <numFmt numFmtId="166" formatCode="0.0000"/>
    <numFmt numFmtId="167" formatCode="#,##0.0"/>
  </numFmts>
  <fonts count="17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8"/>
      <color theme="1"/>
      <name val="Calibri"/>
      <family val="2"/>
      <charset val="1"/>
    </font>
    <font>
      <sz val="9"/>
      <color theme="1"/>
      <name val="Calibri"/>
      <family val="2"/>
      <charset val="1"/>
    </font>
    <font>
      <i/>
      <sz val="9"/>
      <color rgb="FF7F7F7F"/>
      <name val="Calibri"/>
      <family val="2"/>
      <charset val="1"/>
    </font>
    <font>
      <sz val="11"/>
      <color rgb="FF0000FF"/>
      <name val="Calibri"/>
      <family val="2"/>
      <charset val="1"/>
    </font>
    <font>
      <i/>
      <sz val="11"/>
      <color theme="1"/>
      <name val="Calibri"/>
      <family val="2"/>
      <charset val="1"/>
    </font>
    <font>
      <sz val="10"/>
      <name val="Arial"/>
      <family val="2"/>
    </font>
    <font>
      <b/>
      <sz val="13"/>
      <color theme="1"/>
      <name val="Calibri"/>
      <family val="2"/>
      <charset val="1"/>
    </font>
    <font>
      <b/>
      <sz val="9"/>
      <color theme="1"/>
      <name val="Calibri"/>
      <family val="2"/>
      <charset val="1"/>
    </font>
    <font>
      <b/>
      <sz val="13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BDD7EE"/>
        <bgColor rgb="FF99CCFF"/>
      </patternFill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EDE7F6"/>
        <bgColor rgb="FFDEEBF7"/>
      </patternFill>
    </fill>
    <fill>
      <patternFill patternType="solid">
        <fgColor rgb="FFE2EFDA"/>
        <bgColor rgb="FFDEEBF7"/>
      </patternFill>
    </fill>
    <fill>
      <patternFill patternType="solid">
        <fgColor theme="4" tint="0.79989013336588644"/>
        <bgColor rgb="FFDDEBF7"/>
      </patternFill>
    </fill>
    <fill>
      <patternFill patternType="solid">
        <fgColor rgb="FFFFFFE0"/>
        <bgColor rgb="FFFFF2CC"/>
      </patternFill>
    </fill>
    <fill>
      <patternFill patternType="solid">
        <fgColor rgb="FFF2F2F2"/>
        <bgColor rgb="FFEDE7F6"/>
      </patternFill>
    </fill>
    <fill>
      <patternFill patternType="solid">
        <fgColor rgb="FFFFFF00"/>
        <bgColor rgb="FFFFFF00"/>
      </patternFill>
    </fill>
    <fill>
      <patternFill patternType="solid">
        <fgColor rgb="FFDDEBF7"/>
        <bgColor rgb="FFDEEBF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6" fillId="0" borderId="0"/>
  </cellStyleXfs>
  <cellXfs count="57">
    <xf numFmtId="0" fontId="0" fillId="0" borderId="0" xfId="0"/>
    <xf numFmtId="0" fontId="3" fillId="2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164" fontId="16" fillId="7" borderId="0" xfId="1" applyFill="1" applyAlignment="1">
      <alignment horizontal="center"/>
    </xf>
    <xf numFmtId="164" fontId="4" fillId="7" borderId="1" xfId="1" applyFont="1" applyFill="1" applyBorder="1" applyAlignment="1">
      <alignment horizontal="center" vertical="center" wrapText="1"/>
    </xf>
    <xf numFmtId="164" fontId="5" fillId="7" borderId="1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8" borderId="2" xfId="0" applyFont="1" applyFill="1" applyBorder="1" applyAlignment="1" applyProtection="1">
      <alignment horizontal="center"/>
      <protection locked="0"/>
    </xf>
    <xf numFmtId="4" fontId="7" fillId="8" borderId="2" xfId="0" applyNumberFormat="1" applyFont="1" applyFill="1" applyBorder="1" applyAlignment="1" applyProtection="1">
      <alignment horizontal="center"/>
      <protection locked="0"/>
    </xf>
    <xf numFmtId="165" fontId="7" fillId="8" borderId="2" xfId="0" applyNumberFormat="1" applyFont="1" applyFill="1" applyBorder="1" applyAlignment="1" applyProtection="1">
      <alignment horizontal="center"/>
      <protection locked="0"/>
    </xf>
    <xf numFmtId="4" fontId="0" fillId="0" borderId="2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6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66" fontId="7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3" xfId="0" applyFont="1" applyBorder="1"/>
    <xf numFmtId="0" fontId="10" fillId="0" borderId="0" xfId="0" applyFont="1"/>
    <xf numFmtId="164" fontId="3" fillId="6" borderId="2" xfId="0" applyNumberFormat="1" applyFont="1" applyFill="1" applyBorder="1" applyAlignment="1">
      <alignment horizontal="center" vertical="center" wrapText="1"/>
    </xf>
    <xf numFmtId="164" fontId="11" fillId="6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3" fillId="9" borderId="2" xfId="0" applyFont="1" applyFill="1" applyBorder="1" applyAlignment="1">
      <alignment wrapText="1"/>
    </xf>
    <xf numFmtId="4" fontId="3" fillId="9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wrapText="1"/>
    </xf>
    <xf numFmtId="0" fontId="0" fillId="2" borderId="2" xfId="0" applyFill="1" applyBorder="1"/>
    <xf numFmtId="0" fontId="7" fillId="10" borderId="2" xfId="0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4" fillId="2" borderId="0" xfId="0" applyFont="1" applyFill="1"/>
    <xf numFmtId="0" fontId="0" fillId="2" borderId="0" xfId="0" applyFill="1"/>
    <xf numFmtId="0" fontId="14" fillId="11" borderId="4" xfId="0" applyFont="1" applyFill="1" applyBorder="1" applyAlignment="1">
      <alignment horizontal="center" vertical="center" wrapText="1"/>
    </xf>
    <xf numFmtId="0" fontId="13" fillId="0" borderId="4" xfId="0" applyFont="1" applyBorder="1"/>
    <xf numFmtId="3" fontId="13" fillId="0" borderId="4" xfId="0" applyNumberFormat="1" applyFont="1" applyBorder="1"/>
    <xf numFmtId="3" fontId="14" fillId="3" borderId="4" xfId="0" applyNumberFormat="1" applyFont="1" applyFill="1" applyBorder="1"/>
    <xf numFmtId="4" fontId="13" fillId="0" borderId="4" xfId="0" applyNumberFormat="1" applyFont="1" applyBorder="1"/>
    <xf numFmtId="167" fontId="13" fillId="0" borderId="4" xfId="0" applyNumberFormat="1" applyFont="1" applyBorder="1"/>
    <xf numFmtId="0" fontId="15" fillId="6" borderId="0" xfId="0" applyFont="1" applyFill="1"/>
    <xf numFmtId="4" fontId="15" fillId="6" borderId="0" xfId="0" applyNumberFormat="1" applyFont="1" applyFill="1"/>
    <xf numFmtId="0" fontId="3" fillId="3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164" fontId="1" fillId="12" borderId="0" xfId="1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DE7F6"/>
      <rgbColor rgb="FF7F7F7F"/>
      <rgbColor rgb="FF9999FF"/>
      <rgbColor rgb="FF993366"/>
      <rgbColor rgb="FFFFFFE0"/>
      <rgbColor rgb="FFDD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BF7"/>
      <rgbColor rgb="FFE2EFDA"/>
      <rgbColor rgb="FFFFF2CC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2"/>
  <sheetViews>
    <sheetView zoomScaleNormal="100" workbookViewId="0">
      <selection activeCell="A6" sqref="A6"/>
    </sheetView>
  </sheetViews>
  <sheetFormatPr defaultColWidth="8.6640625" defaultRowHeight="14.4" x14ac:dyDescent="0.3"/>
  <cols>
    <col min="1" max="1" width="124.21875" style="6" customWidth="1"/>
    <col min="2" max="2" width="48.109375" customWidth="1"/>
  </cols>
  <sheetData>
    <row r="1" spans="1:1" ht="18" customHeight="1" x14ac:dyDescent="0.35">
      <c r="A1" s="7" t="s">
        <v>0</v>
      </c>
    </row>
    <row r="3" spans="1:1" x14ac:dyDescent="0.3">
      <c r="A3" s="8" t="s">
        <v>1</v>
      </c>
    </row>
    <row r="4" spans="1:1" x14ac:dyDescent="0.3">
      <c r="A4" s="6" t="s">
        <v>2</v>
      </c>
    </row>
    <row r="5" spans="1:1" ht="28.5" customHeight="1" x14ac:dyDescent="0.3">
      <c r="A5" s="6" t="s">
        <v>3</v>
      </c>
    </row>
    <row r="6" spans="1:1" x14ac:dyDescent="0.3">
      <c r="A6" s="6" t="s">
        <v>4</v>
      </c>
    </row>
    <row r="7" spans="1:1" ht="28.5" customHeight="1" x14ac:dyDescent="0.3">
      <c r="A7" s="6" t="s">
        <v>5</v>
      </c>
    </row>
    <row r="9" spans="1:1" ht="28.5" customHeight="1" x14ac:dyDescent="0.3">
      <c r="A9" s="8" t="s">
        <v>6</v>
      </c>
    </row>
    <row r="10" spans="1:1" x14ac:dyDescent="0.3">
      <c r="A10" s="9" t="s">
        <v>7</v>
      </c>
    </row>
    <row r="11" spans="1:1" ht="28.5" customHeight="1" x14ac:dyDescent="0.3">
      <c r="A11" s="6" t="s">
        <v>8</v>
      </c>
    </row>
    <row r="12" spans="1:1" x14ac:dyDescent="0.3">
      <c r="A12" s="6" t="s">
        <v>9</v>
      </c>
    </row>
    <row r="13" spans="1:1" x14ac:dyDescent="0.3">
      <c r="A13" s="6" t="s">
        <v>10</v>
      </c>
    </row>
    <row r="14" spans="1:1" x14ac:dyDescent="0.3">
      <c r="A14" s="6" t="s">
        <v>11</v>
      </c>
    </row>
    <row r="15" spans="1:1" x14ac:dyDescent="0.3">
      <c r="A15" s="9" t="s">
        <v>12</v>
      </c>
    </row>
    <row r="16" spans="1:1" ht="28.5" customHeight="1" x14ac:dyDescent="0.3">
      <c r="A16" s="6" t="s">
        <v>13</v>
      </c>
    </row>
    <row r="17" spans="1:1" ht="28.5" customHeight="1" x14ac:dyDescent="0.3">
      <c r="A17" s="6" t="s">
        <v>14</v>
      </c>
    </row>
    <row r="18" spans="1:1" x14ac:dyDescent="0.3">
      <c r="A18" s="9" t="s">
        <v>15</v>
      </c>
    </row>
    <row r="19" spans="1:1" x14ac:dyDescent="0.3">
      <c r="A19" s="6" t="s">
        <v>16</v>
      </c>
    </row>
    <row r="20" spans="1:1" x14ac:dyDescent="0.3">
      <c r="A20" s="6" t="s">
        <v>17</v>
      </c>
    </row>
    <row r="22" spans="1:1" x14ac:dyDescent="0.3">
      <c r="A22" s="6" t="s">
        <v>18</v>
      </c>
    </row>
    <row r="23" spans="1:1" x14ac:dyDescent="0.3">
      <c r="A23" s="8" t="s">
        <v>19</v>
      </c>
    </row>
    <row r="24" spans="1:1" ht="28.5" customHeight="1" x14ac:dyDescent="0.3">
      <c r="A24" s="6" t="s">
        <v>20</v>
      </c>
    </row>
    <row r="25" spans="1:1" ht="28.5" customHeight="1" x14ac:dyDescent="0.3">
      <c r="A25" s="6" t="s">
        <v>21</v>
      </c>
    </row>
    <row r="26" spans="1:1" x14ac:dyDescent="0.3">
      <c r="A26" s="6" t="s">
        <v>22</v>
      </c>
    </row>
    <row r="27" spans="1:1" x14ac:dyDescent="0.3">
      <c r="A27" s="6" t="s">
        <v>23</v>
      </c>
    </row>
    <row r="28" spans="1:1" x14ac:dyDescent="0.3">
      <c r="A28" s="9"/>
    </row>
    <row r="29" spans="1:1" x14ac:dyDescent="0.3">
      <c r="A29" s="6" t="s">
        <v>24</v>
      </c>
    </row>
    <row r="30" spans="1:1" x14ac:dyDescent="0.3">
      <c r="A30" s="8" t="s">
        <v>25</v>
      </c>
    </row>
    <row r="31" spans="1:1" x14ac:dyDescent="0.3">
      <c r="A31" s="6" t="s">
        <v>26</v>
      </c>
    </row>
    <row r="32" spans="1:1" x14ac:dyDescent="0.3">
      <c r="A32" s="6" t="s">
        <v>27</v>
      </c>
    </row>
  </sheetData>
  <sheetProtection sheet="1" objects="1" scenarios="1" formatColumns="0" formatRows="0"/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40"/>
  <sheetViews>
    <sheetView tabSelected="1" zoomScale="80" zoomScaleNormal="80" workbookViewId="0">
      <pane ySplit="3" topLeftCell="A4" activePane="bottomLeft" state="frozen"/>
      <selection pane="bottomLeft" activeCell="H22" sqref="H22"/>
    </sheetView>
  </sheetViews>
  <sheetFormatPr defaultColWidth="8.6640625" defaultRowHeight="14.4" x14ac:dyDescent="0.3"/>
  <cols>
    <col min="1" max="1" width="42.5546875" customWidth="1"/>
    <col min="2" max="2" width="10.77734375" customWidth="1"/>
    <col min="3" max="3" width="11.5546875" customWidth="1"/>
    <col min="5" max="5" width="11.44140625" customWidth="1"/>
    <col min="6" max="6" width="12" customWidth="1"/>
    <col min="7" max="7" width="11.44140625" customWidth="1"/>
    <col min="8" max="8" width="11.88671875" customWidth="1"/>
    <col min="9" max="9" width="10.6640625" customWidth="1"/>
    <col min="10" max="10" width="27.77734375" customWidth="1"/>
    <col min="11" max="28" width="16.6640625" customWidth="1"/>
    <col min="29" max="40" width="17.5546875" customWidth="1"/>
  </cols>
  <sheetData>
    <row r="1" spans="1:31" ht="45" customHeight="1" x14ac:dyDescent="0.3">
      <c r="A1" s="52" t="s">
        <v>28</v>
      </c>
      <c r="B1" s="53" t="s">
        <v>29</v>
      </c>
      <c r="C1" s="53"/>
      <c r="D1" s="53"/>
      <c r="E1" s="53"/>
      <c r="F1" s="53"/>
      <c r="G1" s="53"/>
      <c r="H1" s="53"/>
      <c r="I1" s="53"/>
      <c r="J1" s="49" t="s">
        <v>30</v>
      </c>
      <c r="K1" s="49"/>
      <c r="L1" s="49"/>
      <c r="M1" s="49"/>
      <c r="N1" s="49"/>
      <c r="O1" s="49"/>
      <c r="P1" s="49"/>
      <c r="Q1" s="49"/>
      <c r="R1" s="54" t="s">
        <v>31</v>
      </c>
      <c r="S1" s="54"/>
      <c r="T1" s="54"/>
      <c r="U1" s="55" t="s">
        <v>32</v>
      </c>
      <c r="V1" s="55"/>
      <c r="W1" s="55"/>
      <c r="X1" s="49" t="s">
        <v>33</v>
      </c>
      <c r="Y1" s="49"/>
      <c r="Z1" s="50" t="s">
        <v>34</v>
      </c>
      <c r="AA1" s="50"/>
      <c r="AB1" s="50"/>
    </row>
    <row r="2" spans="1:31" ht="42" customHeight="1" x14ac:dyDescent="0.3">
      <c r="A2" s="52"/>
      <c r="B2" s="10" t="s">
        <v>35</v>
      </c>
      <c r="C2" s="10" t="s">
        <v>36</v>
      </c>
      <c r="D2" s="10" t="s">
        <v>37</v>
      </c>
      <c r="E2" s="10" t="s">
        <v>38</v>
      </c>
      <c r="F2" s="10" t="s">
        <v>39</v>
      </c>
      <c r="G2" s="10" t="s">
        <v>40</v>
      </c>
      <c r="H2" s="10" t="s">
        <v>41</v>
      </c>
      <c r="I2" s="10" t="s">
        <v>42</v>
      </c>
      <c r="J2" s="5" t="s">
        <v>43</v>
      </c>
      <c r="K2" s="5" t="s">
        <v>44</v>
      </c>
      <c r="L2" s="5" t="s">
        <v>45</v>
      </c>
      <c r="M2" s="5" t="s">
        <v>46</v>
      </c>
      <c r="N2" s="5" t="s">
        <v>47</v>
      </c>
      <c r="O2" s="5" t="s">
        <v>48</v>
      </c>
      <c r="P2" s="5" t="s">
        <v>49</v>
      </c>
      <c r="Q2" s="5" t="s">
        <v>50</v>
      </c>
      <c r="R2" s="4" t="s">
        <v>51</v>
      </c>
      <c r="S2" s="4" t="s">
        <v>52</v>
      </c>
      <c r="T2" s="4" t="s">
        <v>53</v>
      </c>
      <c r="U2" s="3" t="s">
        <v>54</v>
      </c>
      <c r="V2" s="3" t="s">
        <v>55</v>
      </c>
      <c r="W2" s="3" t="s">
        <v>53</v>
      </c>
      <c r="X2" s="5" t="s">
        <v>56</v>
      </c>
      <c r="Y2" s="5" t="s">
        <v>57</v>
      </c>
      <c r="Z2" s="2" t="s">
        <v>58</v>
      </c>
      <c r="AA2" s="2" t="s">
        <v>59</v>
      </c>
      <c r="AB2" s="2" t="s">
        <v>60</v>
      </c>
      <c r="AD2" s="51" t="s">
        <v>61</v>
      </c>
      <c r="AE2" s="51"/>
    </row>
    <row r="3" spans="1:31" s="17" customFormat="1" ht="60.75" customHeight="1" x14ac:dyDescent="0.3">
      <c r="A3" s="52"/>
      <c r="B3" s="11" t="s">
        <v>62</v>
      </c>
      <c r="C3" s="12" t="s">
        <v>63</v>
      </c>
      <c r="D3" s="12" t="s">
        <v>64</v>
      </c>
      <c r="E3" s="12" t="s">
        <v>65</v>
      </c>
      <c r="F3" s="12" t="s">
        <v>66</v>
      </c>
      <c r="G3" s="12" t="s">
        <v>67</v>
      </c>
      <c r="H3" s="12" t="s">
        <v>68</v>
      </c>
      <c r="I3" s="12" t="s">
        <v>69</v>
      </c>
      <c r="J3" s="13" t="s">
        <v>70</v>
      </c>
      <c r="K3" s="13">
        <v>4</v>
      </c>
      <c r="L3" s="13">
        <v>40</v>
      </c>
      <c r="M3" s="13">
        <v>200</v>
      </c>
      <c r="N3" s="13">
        <v>300</v>
      </c>
      <c r="O3" s="13" t="s">
        <v>71</v>
      </c>
      <c r="P3" s="13">
        <v>30</v>
      </c>
      <c r="Q3" s="13">
        <v>30</v>
      </c>
      <c r="R3" s="14" t="s">
        <v>72</v>
      </c>
      <c r="S3" s="14">
        <v>200</v>
      </c>
      <c r="T3" s="14">
        <v>30</v>
      </c>
      <c r="U3" s="15" t="s">
        <v>73</v>
      </c>
      <c r="V3" s="15">
        <v>180</v>
      </c>
      <c r="W3" s="15">
        <v>14</v>
      </c>
      <c r="X3" s="13">
        <v>0.05</v>
      </c>
      <c r="Y3" s="13" t="s">
        <v>74</v>
      </c>
      <c r="Z3" s="16" t="s">
        <v>75</v>
      </c>
      <c r="AA3" s="16" t="s">
        <v>75</v>
      </c>
      <c r="AB3" s="16" t="s">
        <v>75</v>
      </c>
      <c r="AD3" s="1" t="s">
        <v>76</v>
      </c>
      <c r="AE3" s="1" t="s">
        <v>77</v>
      </c>
    </row>
    <row r="4" spans="1:31" x14ac:dyDescent="0.3">
      <c r="A4" t="s">
        <v>78</v>
      </c>
      <c r="B4" s="56" t="s">
        <v>79</v>
      </c>
      <c r="C4" s="56" t="s">
        <v>79</v>
      </c>
      <c r="D4" s="56" t="s">
        <v>79</v>
      </c>
      <c r="E4" s="56" t="s">
        <v>79</v>
      </c>
      <c r="F4" s="56" t="s">
        <v>79</v>
      </c>
      <c r="G4" s="56" t="s">
        <v>79</v>
      </c>
      <c r="H4" s="56">
        <v>1</v>
      </c>
      <c r="I4" s="56" t="s">
        <v>79</v>
      </c>
      <c r="J4" s="18"/>
      <c r="K4" s="18"/>
      <c r="L4" s="18"/>
      <c r="M4" s="18"/>
      <c r="N4" s="19"/>
      <c r="O4" s="18"/>
      <c r="P4" s="18"/>
      <c r="Q4" s="18"/>
      <c r="R4" s="18"/>
      <c r="S4" s="19"/>
      <c r="T4" s="18"/>
      <c r="U4" s="18"/>
      <c r="V4" s="19"/>
      <c r="W4" s="18"/>
      <c r="X4" s="20"/>
      <c r="Y4" s="18"/>
      <c r="Z4" s="21" t="str">
        <f t="shared" ref="Z4:Z27" si="0">IF(OR(K4="",N4="",AB4=""),"",N4*AB4/K4)</f>
        <v/>
      </c>
      <c r="AA4" s="22" t="str">
        <f t="shared" ref="AA4:AA27" si="1">IF(OR(Z4="",M4=""),"",Z4/M4)</f>
        <v/>
      </c>
      <c r="AB4" s="23" t="str">
        <f t="shared" ref="AB4:AB27" si="2">IF(O4="","",IFERROR(INDEX($AE$4:$AE$6,MATCH(O4,$AD$4:$AD$6,0)),""))</f>
        <v/>
      </c>
      <c r="AD4" s="24" t="s">
        <v>71</v>
      </c>
      <c r="AE4" s="24">
        <v>1</v>
      </c>
    </row>
    <row r="5" spans="1:31" x14ac:dyDescent="0.3">
      <c r="A5" t="s">
        <v>80</v>
      </c>
      <c r="B5" s="56">
        <f>1+3</f>
        <v>4</v>
      </c>
      <c r="C5" s="56">
        <f>59+2+1</f>
        <v>62</v>
      </c>
      <c r="D5" s="56">
        <f>2+48</f>
        <v>50</v>
      </c>
      <c r="E5" s="56">
        <v>13</v>
      </c>
      <c r="F5" s="56">
        <v>780</v>
      </c>
      <c r="G5" s="56">
        <f>7+74</f>
        <v>81</v>
      </c>
      <c r="H5" s="56">
        <f>10+1</f>
        <v>11</v>
      </c>
      <c r="I5" s="56">
        <f>10+14</f>
        <v>24</v>
      </c>
      <c r="J5" s="18"/>
      <c r="K5" s="18"/>
      <c r="L5" s="18"/>
      <c r="M5" s="18"/>
      <c r="N5" s="19"/>
      <c r="O5" s="18"/>
      <c r="P5" s="18"/>
      <c r="Q5" s="18"/>
      <c r="R5" s="18"/>
      <c r="S5" s="19"/>
      <c r="T5" s="18"/>
      <c r="U5" s="18"/>
      <c r="V5" s="19"/>
      <c r="W5" s="18"/>
      <c r="X5" s="20"/>
      <c r="Y5" s="18"/>
      <c r="Z5" s="21" t="str">
        <f t="shared" si="0"/>
        <v/>
      </c>
      <c r="AA5" s="22" t="str">
        <f t="shared" si="1"/>
        <v/>
      </c>
      <c r="AB5" s="23" t="str">
        <f t="shared" si="2"/>
        <v/>
      </c>
      <c r="AD5" s="24" t="s">
        <v>81</v>
      </c>
      <c r="AE5" s="25">
        <v>2.5977999999999999</v>
      </c>
    </row>
    <row r="6" spans="1:31" x14ac:dyDescent="0.3">
      <c r="A6" t="s">
        <v>82</v>
      </c>
      <c r="B6" s="56">
        <f>65+4+85</f>
        <v>154</v>
      </c>
      <c r="C6" s="56">
        <f>65+18+142</f>
        <v>225</v>
      </c>
      <c r="D6" s="56">
        <v>95</v>
      </c>
      <c r="E6" s="56">
        <f>46+1+168</f>
        <v>215</v>
      </c>
      <c r="F6" s="56">
        <v>132</v>
      </c>
      <c r="G6" s="56">
        <f>41+523</f>
        <v>564</v>
      </c>
      <c r="H6" s="56">
        <f>5+3+15</f>
        <v>23</v>
      </c>
      <c r="I6" s="56">
        <v>200</v>
      </c>
      <c r="J6" s="18"/>
      <c r="K6" s="18"/>
      <c r="L6" s="18"/>
      <c r="M6" s="18"/>
      <c r="N6" s="19"/>
      <c r="O6" s="18"/>
      <c r="P6" s="18"/>
      <c r="Q6" s="18"/>
      <c r="R6" s="18"/>
      <c r="S6" s="19"/>
      <c r="T6" s="18"/>
      <c r="U6" s="18"/>
      <c r="V6" s="19"/>
      <c r="W6" s="18"/>
      <c r="X6" s="20"/>
      <c r="Y6" s="18"/>
      <c r="Z6" s="21" t="str">
        <f t="shared" si="0"/>
        <v/>
      </c>
      <c r="AA6" s="22" t="str">
        <f t="shared" si="1"/>
        <v/>
      </c>
      <c r="AB6" s="23" t="str">
        <f t="shared" si="2"/>
        <v/>
      </c>
      <c r="AD6" s="24" t="s">
        <v>83</v>
      </c>
      <c r="AE6" s="25">
        <v>2.9127000000000001</v>
      </c>
    </row>
    <row r="7" spans="1:31" x14ac:dyDescent="0.3">
      <c r="A7" t="s">
        <v>84</v>
      </c>
      <c r="B7" s="56">
        <f>65+84+1</f>
        <v>150</v>
      </c>
      <c r="C7" s="56">
        <f>65+5+142</f>
        <v>212</v>
      </c>
      <c r="D7" s="56">
        <v>94</v>
      </c>
      <c r="E7" s="56">
        <f>41+1+168</f>
        <v>210</v>
      </c>
      <c r="F7" s="56">
        <v>240</v>
      </c>
      <c r="G7" s="56">
        <f>38+523</f>
        <v>561</v>
      </c>
      <c r="H7" s="56">
        <f>5+3+15</f>
        <v>23</v>
      </c>
      <c r="I7" s="56">
        <v>200</v>
      </c>
      <c r="J7" s="18"/>
      <c r="K7" s="18"/>
      <c r="L7" s="18"/>
      <c r="M7" s="18"/>
      <c r="N7" s="19"/>
      <c r="O7" s="18"/>
      <c r="P7" s="18"/>
      <c r="Q7" s="18"/>
      <c r="R7" s="18"/>
      <c r="S7" s="19"/>
      <c r="T7" s="18"/>
      <c r="U7" s="18"/>
      <c r="V7" s="19"/>
      <c r="W7" s="18"/>
      <c r="X7" s="20"/>
      <c r="Y7" s="18"/>
      <c r="Z7" s="21" t="str">
        <f t="shared" si="0"/>
        <v/>
      </c>
      <c r="AA7" s="22" t="str">
        <f t="shared" si="1"/>
        <v/>
      </c>
      <c r="AB7" s="23" t="str">
        <f t="shared" si="2"/>
        <v/>
      </c>
      <c r="AD7" s="26" t="s">
        <v>85</v>
      </c>
      <c r="AE7" s="26" t="s">
        <v>86</v>
      </c>
    </row>
    <row r="8" spans="1:31" x14ac:dyDescent="0.3">
      <c r="A8" t="s">
        <v>87</v>
      </c>
      <c r="B8" s="56">
        <f>84</f>
        <v>84</v>
      </c>
      <c r="C8" s="56">
        <f>8+142</f>
        <v>150</v>
      </c>
      <c r="D8" s="56">
        <v>71</v>
      </c>
      <c r="E8" s="56">
        <v>168</v>
      </c>
      <c r="F8" s="56" t="s">
        <v>79</v>
      </c>
      <c r="G8" s="56">
        <f>1+523</f>
        <v>524</v>
      </c>
      <c r="H8" s="56">
        <f>1+15</f>
        <v>16</v>
      </c>
      <c r="I8" s="56">
        <v>70</v>
      </c>
      <c r="J8" s="18"/>
      <c r="K8" s="18"/>
      <c r="L8" s="18"/>
      <c r="M8" s="18"/>
      <c r="N8" s="19"/>
      <c r="O8" s="18"/>
      <c r="P8" s="18"/>
      <c r="Q8" s="18"/>
      <c r="R8" s="18"/>
      <c r="S8" s="19"/>
      <c r="T8" s="18"/>
      <c r="U8" s="18"/>
      <c r="V8" s="19"/>
      <c r="W8" s="18"/>
      <c r="X8" s="20"/>
      <c r="Y8" s="18"/>
      <c r="Z8" s="21" t="str">
        <f t="shared" si="0"/>
        <v/>
      </c>
      <c r="AA8" s="22" t="str">
        <f t="shared" si="1"/>
        <v/>
      </c>
      <c r="AB8" s="23" t="str">
        <f t="shared" si="2"/>
        <v/>
      </c>
    </row>
    <row r="9" spans="1:31" x14ac:dyDescent="0.3">
      <c r="A9" t="s">
        <v>88</v>
      </c>
      <c r="B9" s="56">
        <f>84+1</f>
        <v>85</v>
      </c>
      <c r="C9" s="56">
        <f>2+142</f>
        <v>144</v>
      </c>
      <c r="D9" s="56">
        <v>72</v>
      </c>
      <c r="E9" s="56">
        <f>1+168</f>
        <v>169</v>
      </c>
      <c r="F9" s="56">
        <v>100</v>
      </c>
      <c r="G9" s="56">
        <f>2+523</f>
        <v>525</v>
      </c>
      <c r="H9" s="56">
        <f>1+15</f>
        <v>16</v>
      </c>
      <c r="I9" s="56">
        <f>1+49</f>
        <v>50</v>
      </c>
      <c r="J9" s="18"/>
      <c r="K9" s="18"/>
      <c r="L9" s="18"/>
      <c r="M9" s="18"/>
      <c r="N9" s="19"/>
      <c r="O9" s="18"/>
      <c r="P9" s="18"/>
      <c r="Q9" s="18"/>
      <c r="R9" s="18"/>
      <c r="S9" s="19"/>
      <c r="T9" s="18"/>
      <c r="U9" s="18"/>
      <c r="V9" s="19"/>
      <c r="W9" s="18"/>
      <c r="X9" s="20"/>
      <c r="Y9" s="18"/>
      <c r="Z9" s="21" t="str">
        <f t="shared" si="0"/>
        <v/>
      </c>
      <c r="AA9" s="22" t="str">
        <f t="shared" si="1"/>
        <v/>
      </c>
      <c r="AB9" s="23" t="str">
        <f t="shared" si="2"/>
        <v/>
      </c>
    </row>
    <row r="10" spans="1:31" x14ac:dyDescent="0.3">
      <c r="A10" t="s">
        <v>89</v>
      </c>
      <c r="B10" s="56">
        <f>2+84</f>
        <v>86</v>
      </c>
      <c r="C10" s="56">
        <f>13+142</f>
        <v>155</v>
      </c>
      <c r="D10" s="56">
        <v>72</v>
      </c>
      <c r="E10" s="56">
        <f>2+168</f>
        <v>170</v>
      </c>
      <c r="F10" s="56">
        <v>119</v>
      </c>
      <c r="G10" s="56">
        <f>2+523</f>
        <v>525</v>
      </c>
      <c r="H10" s="56">
        <f>15+11</f>
        <v>26</v>
      </c>
      <c r="I10" s="56">
        <f>2+49</f>
        <v>51</v>
      </c>
      <c r="J10" s="18"/>
      <c r="K10" s="18"/>
      <c r="L10" s="18"/>
      <c r="M10" s="18"/>
      <c r="N10" s="19"/>
      <c r="O10" s="18"/>
      <c r="P10" s="18"/>
      <c r="Q10" s="18"/>
      <c r="R10" s="18"/>
      <c r="S10" s="19"/>
      <c r="T10" s="18"/>
      <c r="U10" s="18"/>
      <c r="V10" s="19"/>
      <c r="W10" s="18"/>
      <c r="X10" s="20"/>
      <c r="Y10" s="18"/>
      <c r="Z10" s="21" t="str">
        <f t="shared" si="0"/>
        <v/>
      </c>
      <c r="AA10" s="22" t="str">
        <f t="shared" si="1"/>
        <v/>
      </c>
      <c r="AB10" s="23" t="str">
        <f t="shared" si="2"/>
        <v/>
      </c>
    </row>
    <row r="11" spans="1:31" x14ac:dyDescent="0.3">
      <c r="A11" t="s">
        <v>90</v>
      </c>
      <c r="B11" s="56">
        <v>2</v>
      </c>
      <c r="C11" s="56">
        <v>13</v>
      </c>
      <c r="D11" s="56">
        <v>3</v>
      </c>
      <c r="E11" s="56">
        <v>8</v>
      </c>
      <c r="F11" s="56">
        <v>50</v>
      </c>
      <c r="G11" s="56">
        <v>18</v>
      </c>
      <c r="H11" s="56">
        <v>10</v>
      </c>
      <c r="I11" s="56">
        <v>3</v>
      </c>
      <c r="J11" s="18"/>
      <c r="K11" s="18"/>
      <c r="L11" s="18"/>
      <c r="M11" s="18"/>
      <c r="N11" s="19"/>
      <c r="O11" s="18"/>
      <c r="P11" s="18"/>
      <c r="Q11" s="18"/>
      <c r="R11" s="18"/>
      <c r="S11" s="19"/>
      <c r="T11" s="18"/>
      <c r="U11" s="18"/>
      <c r="V11" s="19"/>
      <c r="W11" s="18"/>
      <c r="X11" s="20"/>
      <c r="Y11" s="18"/>
      <c r="Z11" s="21" t="str">
        <f t="shared" si="0"/>
        <v/>
      </c>
      <c r="AA11" s="22" t="str">
        <f t="shared" si="1"/>
        <v/>
      </c>
      <c r="AB11" s="23" t="str">
        <f t="shared" si="2"/>
        <v/>
      </c>
    </row>
    <row r="12" spans="1:31" x14ac:dyDescent="0.3">
      <c r="A12" t="s">
        <v>91</v>
      </c>
      <c r="B12" s="56">
        <v>3</v>
      </c>
      <c r="C12" s="56">
        <v>15</v>
      </c>
      <c r="D12" s="56"/>
      <c r="E12" s="56">
        <v>52</v>
      </c>
      <c r="F12" s="56">
        <v>78</v>
      </c>
      <c r="G12" s="56">
        <v>16</v>
      </c>
      <c r="H12" s="56">
        <v>12</v>
      </c>
      <c r="I12" s="56">
        <v>7</v>
      </c>
      <c r="J12" s="18"/>
      <c r="K12" s="18"/>
      <c r="L12" s="18"/>
      <c r="M12" s="18"/>
      <c r="N12" s="19"/>
      <c r="O12" s="18"/>
      <c r="P12" s="18"/>
      <c r="Q12" s="18"/>
      <c r="R12" s="18"/>
      <c r="S12" s="19"/>
      <c r="T12" s="18"/>
      <c r="U12" s="18"/>
      <c r="V12" s="19"/>
      <c r="W12" s="18"/>
      <c r="X12" s="20"/>
      <c r="Y12" s="18"/>
      <c r="Z12" s="21" t="str">
        <f t="shared" si="0"/>
        <v/>
      </c>
      <c r="AA12" s="22" t="str">
        <f t="shared" si="1"/>
        <v/>
      </c>
      <c r="AB12" s="23" t="str">
        <f t="shared" si="2"/>
        <v/>
      </c>
    </row>
    <row r="13" spans="1:31" x14ac:dyDescent="0.3">
      <c r="A13" t="s">
        <v>92</v>
      </c>
      <c r="B13" s="56">
        <v>565</v>
      </c>
      <c r="C13" s="56">
        <v>820</v>
      </c>
      <c r="D13" s="56">
        <v>380</v>
      </c>
      <c r="E13" s="56">
        <v>580</v>
      </c>
      <c r="F13" s="56">
        <v>1140</v>
      </c>
      <c r="G13" s="56">
        <v>1349</v>
      </c>
      <c r="H13" s="56">
        <v>104</v>
      </c>
      <c r="I13" s="56">
        <v>431</v>
      </c>
      <c r="J13" s="18"/>
      <c r="K13" s="18"/>
      <c r="L13" s="18"/>
      <c r="M13" s="18"/>
      <c r="N13" s="19"/>
      <c r="O13" s="18"/>
      <c r="P13" s="18"/>
      <c r="Q13" s="18"/>
      <c r="R13" s="18"/>
      <c r="S13" s="19"/>
      <c r="T13" s="18"/>
      <c r="U13" s="18"/>
      <c r="V13" s="19"/>
      <c r="W13" s="18"/>
      <c r="X13" s="20"/>
      <c r="Y13" s="18"/>
      <c r="Z13" s="21" t="str">
        <f t="shared" si="0"/>
        <v/>
      </c>
      <c r="AA13" s="22" t="str">
        <f t="shared" si="1"/>
        <v/>
      </c>
      <c r="AB13" s="23" t="str">
        <f t="shared" si="2"/>
        <v/>
      </c>
    </row>
    <row r="14" spans="1:31" x14ac:dyDescent="0.3">
      <c r="A14" t="s">
        <v>93</v>
      </c>
      <c r="B14" s="56" t="s">
        <v>79</v>
      </c>
      <c r="C14" s="56" t="s">
        <v>79</v>
      </c>
      <c r="D14" s="56">
        <v>51</v>
      </c>
      <c r="E14" s="56">
        <v>107</v>
      </c>
      <c r="F14" s="56">
        <v>78</v>
      </c>
      <c r="G14" s="56" t="s">
        <v>79</v>
      </c>
      <c r="H14" s="56" t="s">
        <v>79</v>
      </c>
      <c r="I14" s="56">
        <v>211</v>
      </c>
      <c r="J14" s="18"/>
      <c r="K14" s="18"/>
      <c r="L14" s="18"/>
      <c r="M14" s="18"/>
      <c r="N14" s="19"/>
      <c r="O14" s="18"/>
      <c r="P14" s="18"/>
      <c r="Q14" s="18"/>
      <c r="R14" s="18"/>
      <c r="S14" s="19"/>
      <c r="T14" s="18"/>
      <c r="U14" s="18"/>
      <c r="V14" s="19"/>
      <c r="W14" s="18"/>
      <c r="X14" s="20"/>
      <c r="Y14" s="18"/>
      <c r="Z14" s="21" t="str">
        <f t="shared" si="0"/>
        <v/>
      </c>
      <c r="AA14" s="22" t="str">
        <f t="shared" si="1"/>
        <v/>
      </c>
      <c r="AB14" s="23" t="str">
        <f t="shared" si="2"/>
        <v/>
      </c>
    </row>
    <row r="15" spans="1:31" x14ac:dyDescent="0.3">
      <c r="A15" t="s">
        <v>94</v>
      </c>
      <c r="B15" s="56">
        <v>55</v>
      </c>
      <c r="C15" s="56">
        <v>55</v>
      </c>
      <c r="D15" s="56">
        <v>52</v>
      </c>
      <c r="E15" s="56">
        <v>42</v>
      </c>
      <c r="F15" s="56">
        <v>239</v>
      </c>
      <c r="G15" s="56">
        <v>232</v>
      </c>
      <c r="H15" s="56">
        <v>38</v>
      </c>
      <c r="I15" s="56" t="s">
        <v>79</v>
      </c>
      <c r="J15" s="18"/>
      <c r="K15" s="18"/>
      <c r="L15" s="18"/>
      <c r="M15" s="18"/>
      <c r="N15" s="19"/>
      <c r="O15" s="18"/>
      <c r="P15" s="18"/>
      <c r="Q15" s="18"/>
      <c r="R15" s="18"/>
      <c r="S15" s="19"/>
      <c r="T15" s="18"/>
      <c r="U15" s="18"/>
      <c r="V15" s="19"/>
      <c r="W15" s="18"/>
      <c r="X15" s="20"/>
      <c r="Y15" s="18"/>
      <c r="Z15" s="21" t="str">
        <f t="shared" si="0"/>
        <v/>
      </c>
      <c r="AA15" s="22" t="str">
        <f t="shared" si="1"/>
        <v/>
      </c>
      <c r="AB15" s="23" t="str">
        <f t="shared" si="2"/>
        <v/>
      </c>
    </row>
    <row r="16" spans="1:31" x14ac:dyDescent="0.3">
      <c r="A16" t="s">
        <v>95</v>
      </c>
      <c r="B16" s="56">
        <f>205+8</f>
        <v>213</v>
      </c>
      <c r="C16" s="56">
        <f>376+13</f>
        <v>389</v>
      </c>
      <c r="D16" s="56">
        <v>360</v>
      </c>
      <c r="E16" s="56">
        <f>415+13</f>
        <v>428</v>
      </c>
      <c r="F16" s="56">
        <v>1400</v>
      </c>
      <c r="G16" s="56">
        <f>590+23</f>
        <v>613</v>
      </c>
      <c r="H16" s="56">
        <f>489+3</f>
        <v>492</v>
      </c>
      <c r="I16" s="56">
        <f>187+11</f>
        <v>198</v>
      </c>
      <c r="J16" s="18"/>
      <c r="K16" s="18"/>
      <c r="L16" s="18"/>
      <c r="M16" s="18"/>
      <c r="N16" s="19"/>
      <c r="O16" s="18"/>
      <c r="P16" s="18"/>
      <c r="Q16" s="18"/>
      <c r="R16" s="18"/>
      <c r="S16" s="19"/>
      <c r="T16" s="18"/>
      <c r="U16" s="18"/>
      <c r="V16" s="19"/>
      <c r="W16" s="18"/>
      <c r="X16" s="20"/>
      <c r="Y16" s="18"/>
      <c r="Z16" s="21" t="str">
        <f t="shared" si="0"/>
        <v/>
      </c>
      <c r="AA16" s="22" t="str">
        <f t="shared" si="1"/>
        <v/>
      </c>
      <c r="AB16" s="23" t="str">
        <f t="shared" si="2"/>
        <v/>
      </c>
    </row>
    <row r="17" spans="1:28" x14ac:dyDescent="0.3">
      <c r="A17" t="s">
        <v>96</v>
      </c>
      <c r="B17" s="56">
        <v>4</v>
      </c>
      <c r="C17" s="56">
        <v>10</v>
      </c>
      <c r="D17" s="56">
        <v>23</v>
      </c>
      <c r="E17" s="56">
        <v>72</v>
      </c>
      <c r="F17" s="56" t="s">
        <v>79</v>
      </c>
      <c r="G17" s="56">
        <v>125</v>
      </c>
      <c r="H17" s="56">
        <v>1</v>
      </c>
      <c r="I17" s="56">
        <v>26</v>
      </c>
      <c r="J17" s="18"/>
      <c r="K17" s="18"/>
      <c r="L17" s="18"/>
      <c r="M17" s="18"/>
      <c r="N17" s="19"/>
      <c r="O17" s="18"/>
      <c r="P17" s="18"/>
      <c r="Q17" s="18"/>
      <c r="R17" s="18"/>
      <c r="S17" s="19"/>
      <c r="T17" s="18"/>
      <c r="U17" s="18"/>
      <c r="V17" s="19"/>
      <c r="W17" s="18"/>
      <c r="X17" s="20"/>
      <c r="Y17" s="18"/>
      <c r="Z17" s="21" t="str">
        <f t="shared" si="0"/>
        <v/>
      </c>
      <c r="AA17" s="22" t="str">
        <f t="shared" si="1"/>
        <v/>
      </c>
      <c r="AB17" s="23" t="str">
        <f t="shared" si="2"/>
        <v/>
      </c>
    </row>
    <row r="18" spans="1:28" x14ac:dyDescent="0.3">
      <c r="A18" t="s">
        <v>97</v>
      </c>
      <c r="B18" s="56">
        <f>207</f>
        <v>207</v>
      </c>
      <c r="C18" s="56">
        <f>1+457</f>
        <v>458</v>
      </c>
      <c r="D18" s="56">
        <f>3+165</f>
        <v>168</v>
      </c>
      <c r="E18" s="56">
        <v>265</v>
      </c>
      <c r="F18" s="56">
        <v>810</v>
      </c>
      <c r="G18" s="56">
        <f>236</f>
        <v>236</v>
      </c>
      <c r="H18" s="56">
        <v>16</v>
      </c>
      <c r="I18" s="56">
        <v>146</v>
      </c>
      <c r="J18" s="18"/>
      <c r="K18" s="18"/>
      <c r="L18" s="18"/>
      <c r="M18" s="18"/>
      <c r="N18" s="19"/>
      <c r="O18" s="18"/>
      <c r="P18" s="18"/>
      <c r="Q18" s="18"/>
      <c r="R18" s="18"/>
      <c r="S18" s="19"/>
      <c r="T18" s="18"/>
      <c r="U18" s="18"/>
      <c r="V18" s="19"/>
      <c r="W18" s="18"/>
      <c r="X18" s="20"/>
      <c r="Y18" s="18"/>
      <c r="Z18" s="21" t="str">
        <f t="shared" si="0"/>
        <v/>
      </c>
      <c r="AA18" s="22" t="str">
        <f t="shared" si="1"/>
        <v/>
      </c>
      <c r="AB18" s="23" t="str">
        <f t="shared" si="2"/>
        <v/>
      </c>
    </row>
    <row r="19" spans="1:28" x14ac:dyDescent="0.3">
      <c r="A19" t="s">
        <v>98</v>
      </c>
      <c r="B19" s="56">
        <f>1+207</f>
        <v>208</v>
      </c>
      <c r="C19" s="56">
        <f>3+457</f>
        <v>460</v>
      </c>
      <c r="D19" s="56">
        <f>5+165</f>
        <v>170</v>
      </c>
      <c r="E19" s="56">
        <f>7+265</f>
        <v>272</v>
      </c>
      <c r="F19" s="56" t="s">
        <v>79</v>
      </c>
      <c r="G19" s="56">
        <v>236</v>
      </c>
      <c r="H19" s="56">
        <f>1+16</f>
        <v>17</v>
      </c>
      <c r="I19" s="56">
        <f>1+146</f>
        <v>147</v>
      </c>
      <c r="J19" s="18"/>
      <c r="K19" s="18"/>
      <c r="L19" s="18"/>
      <c r="M19" s="18"/>
      <c r="N19" s="19"/>
      <c r="O19" s="18"/>
      <c r="P19" s="18"/>
      <c r="Q19" s="18"/>
      <c r="R19" s="18"/>
      <c r="S19" s="19"/>
      <c r="T19" s="18"/>
      <c r="U19" s="18"/>
      <c r="V19" s="19"/>
      <c r="W19" s="18"/>
      <c r="X19" s="20"/>
      <c r="Y19" s="18"/>
      <c r="Z19" s="21" t="str">
        <f t="shared" si="0"/>
        <v/>
      </c>
      <c r="AA19" s="22" t="str">
        <f t="shared" si="1"/>
        <v/>
      </c>
      <c r="AB19" s="23" t="str">
        <f t="shared" si="2"/>
        <v/>
      </c>
    </row>
    <row r="20" spans="1:28" x14ac:dyDescent="0.3">
      <c r="A20" t="s">
        <v>99</v>
      </c>
      <c r="B20" s="56">
        <f>207</f>
        <v>207</v>
      </c>
      <c r="C20" s="56">
        <v>457</v>
      </c>
      <c r="D20" s="56">
        <f>1+165</f>
        <v>166</v>
      </c>
      <c r="E20" s="56">
        <v>265</v>
      </c>
      <c r="F20" s="56">
        <v>540</v>
      </c>
      <c r="G20" s="56">
        <v>236</v>
      </c>
      <c r="H20" s="56">
        <f>1+16</f>
        <v>17</v>
      </c>
      <c r="I20" s="56">
        <f>146+1</f>
        <v>147</v>
      </c>
      <c r="J20" s="18"/>
      <c r="K20" s="18"/>
      <c r="L20" s="18"/>
      <c r="M20" s="18"/>
      <c r="N20" s="19"/>
      <c r="O20" s="18"/>
      <c r="P20" s="18"/>
      <c r="Q20" s="18"/>
      <c r="R20" s="18"/>
      <c r="S20" s="19"/>
      <c r="T20" s="18"/>
      <c r="U20" s="18"/>
      <c r="V20" s="19"/>
      <c r="W20" s="18"/>
      <c r="X20" s="20"/>
      <c r="Y20" s="18"/>
      <c r="Z20" s="21" t="str">
        <f t="shared" si="0"/>
        <v/>
      </c>
      <c r="AA20" s="22" t="str">
        <f t="shared" si="1"/>
        <v/>
      </c>
      <c r="AB20" s="23" t="str">
        <f t="shared" si="2"/>
        <v/>
      </c>
    </row>
    <row r="21" spans="1:28" x14ac:dyDescent="0.3">
      <c r="A21" t="s">
        <v>100</v>
      </c>
      <c r="B21" s="56">
        <f>1+84</f>
        <v>85</v>
      </c>
      <c r="C21" s="56">
        <f>11+142</f>
        <v>153</v>
      </c>
      <c r="D21" s="56">
        <v>71</v>
      </c>
      <c r="E21" s="56">
        <f>1+168</f>
        <v>169</v>
      </c>
      <c r="F21" s="56" t="s">
        <v>79</v>
      </c>
      <c r="G21" s="56">
        <f>1+523</f>
        <v>524</v>
      </c>
      <c r="H21" s="56">
        <f>11+15</f>
        <v>26</v>
      </c>
      <c r="I21" s="56">
        <f>1+49</f>
        <v>50</v>
      </c>
      <c r="J21" s="18"/>
      <c r="K21" s="18"/>
      <c r="L21" s="18"/>
      <c r="M21" s="18"/>
      <c r="N21" s="19"/>
      <c r="O21" s="18"/>
      <c r="P21" s="18"/>
      <c r="Q21" s="18"/>
      <c r="R21" s="18"/>
      <c r="S21" s="19"/>
      <c r="T21" s="18"/>
      <c r="U21" s="18"/>
      <c r="V21" s="19"/>
      <c r="W21" s="18"/>
      <c r="X21" s="20"/>
      <c r="Y21" s="18"/>
      <c r="Z21" s="21" t="str">
        <f t="shared" si="0"/>
        <v/>
      </c>
      <c r="AA21" s="22" t="str">
        <f t="shared" si="1"/>
        <v/>
      </c>
      <c r="AB21" s="23" t="str">
        <f t="shared" si="2"/>
        <v/>
      </c>
    </row>
    <row r="22" spans="1:28" x14ac:dyDescent="0.3">
      <c r="A22" t="s">
        <v>101</v>
      </c>
      <c r="B22" s="56">
        <f>3+207</f>
        <v>210</v>
      </c>
      <c r="C22" s="56">
        <f>18+457</f>
        <v>475</v>
      </c>
      <c r="D22" s="56">
        <f>22+165</f>
        <v>187</v>
      </c>
      <c r="E22" s="56">
        <f>6+265</f>
        <v>271</v>
      </c>
      <c r="F22" s="56">
        <v>660</v>
      </c>
      <c r="G22" s="56">
        <f>42+236</f>
        <v>278</v>
      </c>
      <c r="H22" s="56">
        <f>5+16</f>
        <v>21</v>
      </c>
      <c r="I22" s="56">
        <f>55+146</f>
        <v>201</v>
      </c>
      <c r="J22" s="18"/>
      <c r="K22" s="18"/>
      <c r="L22" s="18"/>
      <c r="M22" s="18"/>
      <c r="N22" s="19"/>
      <c r="O22" s="18"/>
      <c r="P22" s="18"/>
      <c r="Q22" s="18"/>
      <c r="R22" s="18"/>
      <c r="S22" s="19"/>
      <c r="T22" s="18"/>
      <c r="U22" s="18"/>
      <c r="V22" s="19"/>
      <c r="W22" s="18"/>
      <c r="X22" s="20"/>
      <c r="Y22" s="18"/>
      <c r="Z22" s="21" t="str">
        <f t="shared" si="0"/>
        <v/>
      </c>
      <c r="AA22" s="22" t="str">
        <f t="shared" si="1"/>
        <v/>
      </c>
      <c r="AB22" s="23" t="str">
        <f t="shared" si="2"/>
        <v/>
      </c>
    </row>
    <row r="23" spans="1:28" x14ac:dyDescent="0.3">
      <c r="A23" t="s">
        <v>102</v>
      </c>
      <c r="B23" s="56" t="s">
        <v>79</v>
      </c>
      <c r="C23" s="56">
        <v>36</v>
      </c>
      <c r="D23" s="56" t="s">
        <v>79</v>
      </c>
      <c r="E23" s="56" t="s">
        <v>79</v>
      </c>
      <c r="F23" s="56">
        <v>75</v>
      </c>
      <c r="G23" s="56" t="s">
        <v>79</v>
      </c>
      <c r="H23" s="56" t="s">
        <v>79</v>
      </c>
      <c r="I23" s="56" t="s">
        <v>79</v>
      </c>
      <c r="J23" s="18"/>
      <c r="K23" s="18"/>
      <c r="L23" s="18"/>
      <c r="M23" s="18"/>
      <c r="N23" s="19"/>
      <c r="O23" s="18"/>
      <c r="P23" s="18"/>
      <c r="Q23" s="18"/>
      <c r="R23" s="18"/>
      <c r="S23" s="19"/>
      <c r="T23" s="18"/>
      <c r="U23" s="18"/>
      <c r="V23" s="19"/>
      <c r="W23" s="18"/>
      <c r="X23" s="20"/>
      <c r="Y23" s="18"/>
      <c r="Z23" s="21" t="str">
        <f t="shared" si="0"/>
        <v/>
      </c>
      <c r="AA23" s="22" t="str">
        <f t="shared" si="1"/>
        <v/>
      </c>
      <c r="AB23" s="23" t="str">
        <f t="shared" si="2"/>
        <v/>
      </c>
    </row>
    <row r="24" spans="1:28" x14ac:dyDescent="0.3">
      <c r="A24" t="s">
        <v>103</v>
      </c>
      <c r="B24" s="56">
        <v>30</v>
      </c>
      <c r="C24" s="56">
        <v>51</v>
      </c>
      <c r="D24" s="56">
        <v>6</v>
      </c>
      <c r="E24" s="56">
        <v>5</v>
      </c>
      <c r="F24" s="56">
        <v>180</v>
      </c>
      <c r="G24" s="56">
        <v>32</v>
      </c>
      <c r="H24" s="56">
        <v>3</v>
      </c>
      <c r="I24" s="56">
        <v>31</v>
      </c>
      <c r="J24" s="18"/>
      <c r="K24" s="18"/>
      <c r="L24" s="18"/>
      <c r="M24" s="18"/>
      <c r="N24" s="19"/>
      <c r="O24" s="18"/>
      <c r="P24" s="18"/>
      <c r="Q24" s="18"/>
      <c r="R24" s="18"/>
      <c r="S24" s="19"/>
      <c r="T24" s="18"/>
      <c r="U24" s="18"/>
      <c r="V24" s="19"/>
      <c r="W24" s="18"/>
      <c r="X24" s="20"/>
      <c r="Y24" s="18"/>
      <c r="Z24" s="21" t="str">
        <f t="shared" si="0"/>
        <v/>
      </c>
      <c r="AA24" s="22" t="str">
        <f t="shared" si="1"/>
        <v/>
      </c>
      <c r="AB24" s="23" t="str">
        <f t="shared" si="2"/>
        <v/>
      </c>
    </row>
    <row r="25" spans="1:28" x14ac:dyDescent="0.3">
      <c r="A25" t="s">
        <v>104</v>
      </c>
      <c r="B25" s="56" t="s">
        <v>79</v>
      </c>
      <c r="C25" s="56" t="s">
        <v>79</v>
      </c>
      <c r="D25" s="56" t="s">
        <v>79</v>
      </c>
      <c r="E25" s="56" t="s">
        <v>79</v>
      </c>
      <c r="F25" s="56" t="s">
        <v>79</v>
      </c>
      <c r="G25" s="56">
        <v>1</v>
      </c>
      <c r="H25" s="56" t="s">
        <v>79</v>
      </c>
      <c r="I25" s="56">
        <v>1</v>
      </c>
      <c r="J25" s="18"/>
      <c r="K25" s="18"/>
      <c r="L25" s="18"/>
      <c r="M25" s="18"/>
      <c r="N25" s="19"/>
      <c r="O25" s="18"/>
      <c r="P25" s="18"/>
      <c r="Q25" s="18"/>
      <c r="R25" s="18"/>
      <c r="S25" s="19"/>
      <c r="T25" s="18"/>
      <c r="U25" s="18"/>
      <c r="V25" s="19"/>
      <c r="W25" s="18"/>
      <c r="X25" s="20"/>
      <c r="Y25" s="18"/>
      <c r="Z25" s="21" t="str">
        <f t="shared" si="0"/>
        <v/>
      </c>
      <c r="AA25" s="22" t="str">
        <f t="shared" si="1"/>
        <v/>
      </c>
      <c r="AB25" s="23" t="str">
        <f t="shared" si="2"/>
        <v/>
      </c>
    </row>
    <row r="26" spans="1:28" x14ac:dyDescent="0.3">
      <c r="A26" t="s">
        <v>105</v>
      </c>
      <c r="B26" s="56">
        <v>8</v>
      </c>
      <c r="C26" s="56">
        <v>12</v>
      </c>
      <c r="D26" s="56">
        <v>7</v>
      </c>
      <c r="E26" s="56">
        <v>12</v>
      </c>
      <c r="F26" s="56" t="s">
        <v>79</v>
      </c>
      <c r="G26" s="56">
        <v>23</v>
      </c>
      <c r="H26" s="56">
        <v>3</v>
      </c>
      <c r="I26" s="56">
        <v>12</v>
      </c>
      <c r="J26" s="18"/>
      <c r="K26" s="18"/>
      <c r="L26" s="18"/>
      <c r="M26" s="18"/>
      <c r="N26" s="19"/>
      <c r="O26" s="18"/>
      <c r="P26" s="18"/>
      <c r="Q26" s="18"/>
      <c r="R26" s="18"/>
      <c r="S26" s="19"/>
      <c r="T26" s="18"/>
      <c r="U26" s="18"/>
      <c r="V26" s="19"/>
      <c r="W26" s="18"/>
      <c r="X26" s="20"/>
      <c r="Y26" s="18"/>
      <c r="Z26" s="21" t="str">
        <f t="shared" si="0"/>
        <v/>
      </c>
      <c r="AA26" s="22" t="str">
        <f t="shared" si="1"/>
        <v/>
      </c>
      <c r="AB26" s="23" t="str">
        <f t="shared" si="2"/>
        <v/>
      </c>
    </row>
    <row r="27" spans="1:28" ht="15" customHeight="1" x14ac:dyDescent="0.3">
      <c r="A27" t="s">
        <v>106</v>
      </c>
      <c r="B27" s="56">
        <v>8</v>
      </c>
      <c r="C27" s="56">
        <v>12</v>
      </c>
      <c r="D27" s="56">
        <v>7</v>
      </c>
      <c r="E27" s="56">
        <v>12</v>
      </c>
      <c r="F27" s="56" t="s">
        <v>79</v>
      </c>
      <c r="G27" s="56">
        <v>23</v>
      </c>
      <c r="H27" s="56">
        <v>3</v>
      </c>
      <c r="I27" s="56">
        <v>12</v>
      </c>
      <c r="J27" s="18"/>
      <c r="K27" s="18"/>
      <c r="L27" s="18"/>
      <c r="M27" s="18"/>
      <c r="N27" s="19"/>
      <c r="O27" s="18"/>
      <c r="P27" s="18"/>
      <c r="Q27" s="18"/>
      <c r="R27" s="18"/>
      <c r="S27" s="19"/>
      <c r="T27" s="18"/>
      <c r="U27" s="18"/>
      <c r="V27" s="19"/>
      <c r="W27" s="18"/>
      <c r="X27" s="20"/>
      <c r="Y27" s="18"/>
      <c r="Z27" s="21" t="str">
        <f t="shared" si="0"/>
        <v/>
      </c>
      <c r="AA27" s="22" t="str">
        <f t="shared" si="1"/>
        <v/>
      </c>
      <c r="AB27" s="23" t="str">
        <f t="shared" si="2"/>
        <v/>
      </c>
    </row>
    <row r="28" spans="1:28" x14ac:dyDescent="0.3">
      <c r="A28" s="27"/>
      <c r="B28" s="27"/>
      <c r="C28" s="27"/>
      <c r="D28" s="27"/>
      <c r="E28" s="27"/>
      <c r="F28" s="27"/>
      <c r="G28" s="27"/>
      <c r="H28" s="27"/>
      <c r="I28" s="27"/>
    </row>
    <row r="29" spans="1:28" ht="15" customHeight="1" x14ac:dyDescent="0.3"/>
    <row r="30" spans="1:28" ht="15" customHeight="1" x14ac:dyDescent="0.3"/>
    <row r="31" spans="1:28" ht="15" customHeight="1" x14ac:dyDescent="0.3"/>
    <row r="32" spans="1:28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sheetProtection formatColumns="0" formatRows="0"/>
  <mergeCells count="8">
    <mergeCell ref="X1:Y1"/>
    <mergeCell ref="Z1:AB1"/>
    <mergeCell ref="AD2:AE2"/>
    <mergeCell ref="A1:A3"/>
    <mergeCell ref="B1:I1"/>
    <mergeCell ref="J1:Q1"/>
    <mergeCell ref="R1:T1"/>
    <mergeCell ref="U1:W1"/>
  </mergeCells>
  <dataValidations count="3">
    <dataValidation type="list" allowBlank="1" showInputMessage="1" showErrorMessage="1" sqref="O4:O27" xr:uid="{00000000-0002-0000-0100-000000000000}">
      <formula1>"GEL,USD,EUR"</formula1>
      <formula2>0</formula2>
    </dataValidation>
    <dataValidation type="whole" operator="greaterThan" allowBlank="1" showInputMessage="1" showErrorMessage="1" sqref="K4:K27" xr:uid="{00000000-0002-0000-0100-000001000000}">
      <formula1>0</formula1>
      <formula2>0</formula2>
    </dataValidation>
    <dataValidation type="decimal" operator="greaterThanOrEqual" allowBlank="1" showInputMessage="1" showErrorMessage="1" sqref="L4:N27 P4:Q27 S4:T27 V4:X27" xr:uid="{00000000-0002-0000-0100-000002000000}">
      <formula1>0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5"/>
  <sheetViews>
    <sheetView zoomScale="80" zoomScaleNormal="80" workbookViewId="0">
      <pane ySplit="3" topLeftCell="A9" activePane="bottomLeft" state="frozen"/>
      <selection pane="bottomLeft" activeCell="B13" sqref="B13"/>
    </sheetView>
  </sheetViews>
  <sheetFormatPr defaultColWidth="8.6640625" defaultRowHeight="14.4" x14ac:dyDescent="0.3"/>
  <cols>
    <col min="1" max="1" width="34.21875" customWidth="1"/>
    <col min="2" max="11" width="17.5546875" customWidth="1"/>
  </cols>
  <sheetData>
    <row r="1" spans="1:9" ht="17.25" customHeight="1" x14ac:dyDescent="0.35">
      <c r="A1" s="28" t="s">
        <v>107</v>
      </c>
    </row>
    <row r="2" spans="1:9" x14ac:dyDescent="0.3">
      <c r="A2" s="2" t="str">
        <f>'მომწოდებლის ფორმა'!A1</f>
        <v>კვლევის დასახელება</v>
      </c>
      <c r="B2" s="29" t="str">
        <f>'მომწოდებლის ფორმა'!B2</f>
        <v>ACH</v>
      </c>
      <c r="C2" s="29" t="str">
        <f>'მომწოდებლის ფორმა'!C2</f>
        <v>TLH</v>
      </c>
      <c r="D2" s="29" t="str">
        <f>'მომწოდებლის ფორმა'!D2</f>
        <v>XRH</v>
      </c>
      <c r="E2" s="29" t="str">
        <f>'მომწოდებლის ფორმა'!E2</f>
        <v>ZURH</v>
      </c>
      <c r="F2" s="29" t="str">
        <f>'მომწოდებლის ფორმა'!F2</f>
        <v>GRH</v>
      </c>
      <c r="G2" s="29" t="str">
        <f>'მომწოდებლის ფორმა'!G2</f>
        <v xml:space="preserve">KRH </v>
      </c>
      <c r="H2" s="29" t="str">
        <f>'მომწოდებლის ფორმა'!H2</f>
        <v>TCH</v>
      </c>
      <c r="I2" s="29" t="str">
        <f>'მომწოდებლის ფორმა'!I2</f>
        <v>QBH</v>
      </c>
    </row>
    <row r="3" spans="1:9" ht="36" customHeight="1" x14ac:dyDescent="0.3">
      <c r="A3" s="2"/>
      <c r="B3" s="30" t="str">
        <f>'მომწოდებლის ფორმა'!B3</f>
        <v xml:space="preserve"> ახალციხის რეფერალური ჰოსპიტალი </v>
      </c>
      <c r="C3" s="30" t="str">
        <f>'მომწოდებლის ფორმა'!C3</f>
        <v xml:space="preserve"> თელავის რეფერალური ჰოსპიტალი </v>
      </c>
      <c r="D3" s="30" t="str">
        <f>'მომწოდებლის ფორმა'!D3</f>
        <v xml:space="preserve"> ხაშურის კლინიკა </v>
      </c>
      <c r="E3" s="30" t="str">
        <f>'მომწოდებლის ფორმა'!E3</f>
        <v>ზუგდიდის რეფერალური ჰოსპიტალი</v>
      </c>
      <c r="F3" s="30" t="str">
        <f>'მომწოდებლის ფორმა'!F3</f>
        <v>გორის რეფერალური ჰოსპიტალი</v>
      </c>
      <c r="G3" s="30" t="str">
        <f>'მომწოდებლის ფორმა'!G3</f>
        <v>ქუთაისის რეფერალური ჰოსპიტალი</v>
      </c>
      <c r="H3" s="30" t="str">
        <f>'მომწოდებლის ფორმა'!H3</f>
        <v>ციციშვილის სახელობის ბავშვთა კლინიკა</v>
      </c>
      <c r="I3" s="30" t="str">
        <f>'მომწოდებლის ფორმა'!I3</f>
        <v xml:space="preserve"> ქობულეთის  ჰოსპიტალი</v>
      </c>
    </row>
    <row r="4" spans="1:9" x14ac:dyDescent="0.3">
      <c r="A4" s="31" t="str">
        <f>'მომწოდებლის ფორმა'!A4</f>
        <v>ლიპაზის განსაზღვრა  - Lipase</v>
      </c>
      <c r="B4" s="21" t="str">
        <f>IF(OR(N('მომწოდებლის ფორმა'!B4)&lt;=0,'მომწოდებლის ფორმა'!$M4="",'მომწოდებლის ფორმა'!$P4="",'მომწოდებლის ფორმა'!$Z4=""),"",MAX(('მომწოდებლის ფორმა'!B4+$B$33+IF('მომწოდებლის ფორმა'!$Q4="",0,30/'მომწოდებლის ფორმა'!$Q4*$B$34))/'მომწოდებლის ფორმა'!$M4,30/'მომწოდებლის ფორმა'!$P4)*'მომწოდებლის ფორმა'!$Z4/'მომწოდებლის ფორმა'!B4+IF(OR('მომწოდებლის ფორმა'!$R4="",N('მომწოდებლის ფორმა'!$S4)=0,N('მომწოდებლის ფორმა'!$T4)=0),0,'მომწოდებლის ფორმა'!$S4*'მომწოდებლის ფორმა'!$AB4*30/'მომწოდებლის ფორმა'!$T4/SUMIF('მომწოდებლის ფორმა'!$R$4:$R$27,'მომწოდებლის ფორმა'!$R4,'მომწოდებლის ფორმა'!B$4:B$27))+IF(OR('მომწოდებლის ფორმა'!$U4="",N('მომწოდებლის ფორმა'!$V4)=0,N('მომწოდებლის ფორმა'!$W4)=0),0,'მომწოდებლის ფორმა'!$V4*'მომწოდებლის ფორმა'!$AB4*30/'მომწოდებლის ფორმა'!$W4/SUMIF('მომწოდებლის ფორმა'!$U$4:$U$27,'მომწოდებლის ფორმა'!$U4,'მომწოდებლის ფორმა'!B$4:B$27))+N('მომწოდებლის ფორმა'!$X4)*'მომწოდებლის ფორმა'!$AB4)</f>
        <v/>
      </c>
      <c r="C4" s="21" t="str">
        <f>IF(OR(N('მომწოდებლის ფორმა'!C4)&lt;=0,'მომწოდებლის ფორმა'!$M4="",'მომწოდებლის ფორმა'!$P4="",'მომწოდებლის ფორმა'!$Z4=""),"",MAX(('მომწოდებლის ფორმა'!C4+$B$33+IF('მომწოდებლის ფორმა'!$Q4="",0,30/'მომწოდებლის ფორმა'!$Q4*$B$34))/'მომწოდებლის ფორმა'!$M4,30/'მომწოდებლის ფორმა'!$P4)*'მომწოდებლის ფორმა'!$Z4/'მომწოდებლის ფორმა'!C4+IF(OR('მომწოდებლის ფორმა'!$R4="",N('მომწოდებლის ფორმა'!$S4)=0,N('მომწოდებლის ფორმა'!$T4)=0),0,'მომწოდებლის ფორმა'!$S4*'მომწოდებლის ფორმა'!$AB4*30/'მომწოდებლის ფორმა'!$T4/SUMIF('მომწოდებლის ფორმა'!$R$4:$R$27,'მომწოდებლის ფორმა'!$R4,'მომწოდებლის ფორმა'!C$4:C$27))+IF(OR('მომწოდებლის ფორმა'!$U4="",N('მომწოდებლის ფორმა'!$V4)=0,N('მომწოდებლის ფორმა'!$W4)=0),0,'მომწოდებლის ფორმა'!$V4*'მომწოდებლის ფორმა'!$AB4*30/'მომწოდებლის ფორმა'!$W4/SUMIF('მომწოდებლის ფორმა'!$U$4:$U$27,'მომწოდებლის ფორმა'!$U4,'მომწოდებლის ფორმა'!C$4:C$27))+N('მომწოდებლის ფორმა'!$X4)*'მომწოდებლის ფორმა'!$AB4)</f>
        <v/>
      </c>
      <c r="D4" s="21" t="str">
        <f>IF(OR(N('მომწოდებლის ფორმა'!D4)&lt;=0,'მომწოდებლის ფორმა'!$M4="",'მომწოდებლის ფორმა'!$P4="",'მომწოდებლის ფორმა'!$Z4=""),"",MAX(('მომწოდებლის ფორმა'!D4+$B$33+IF('მომწოდებლის ფორმა'!$Q4="",0,30/'მომწოდებლის ფორმა'!$Q4*$B$34))/'მომწოდებლის ფორმა'!$M4,30/'მომწოდებლის ფორმა'!$P4)*'მომწოდებლის ფორმა'!$Z4/'მომწოდებლის ფორმა'!D4+IF(OR('მომწოდებლის ფორმა'!$R4="",N('მომწოდებლის ფორმა'!$S4)=0,N('მომწოდებლის ფორმა'!$T4)=0),0,'მომწოდებლის ფორმა'!$S4*'მომწოდებლის ფორმა'!$AB4*30/'მომწოდებლის ფორმა'!$T4/SUMIF('მომწოდებლის ფორმა'!$R$4:$R$27,'მომწოდებლის ფორმა'!$R4,'მომწოდებლის ფორმა'!D$4:D$27))+IF(OR('მომწოდებლის ფორმა'!$U4="",N('მომწოდებლის ფორმა'!$V4)=0,N('მომწოდებლის ფორმა'!$W4)=0),0,'მომწოდებლის ფორმა'!$V4*'მომწოდებლის ფორმა'!$AB4*30/'მომწოდებლის ფორმა'!$W4/SUMIF('მომწოდებლის ფორმა'!$U$4:$U$27,'მომწოდებლის ფორმა'!$U4,'მომწოდებლის ფორმა'!D$4:D$27))+N('მომწოდებლის ფორმა'!$X4)*'მომწოდებლის ფორმა'!$AB4)</f>
        <v/>
      </c>
      <c r="E4" s="21" t="str">
        <f>IF(OR(N('მომწოდებლის ფორმა'!E4)&lt;=0,'მომწოდებლის ფორმა'!$M4="",'მომწოდებლის ფორმა'!$P4="",'მომწოდებლის ფორმა'!$Z4=""),"",MAX(('მომწოდებლის ფორმა'!E4+$B$33+IF('მომწოდებლის ფორმა'!$Q4="",0,30/'მომწოდებლის ფორმა'!$Q4*$B$34))/'მომწოდებლის ფორმა'!$M4,30/'მომწოდებლის ფორმა'!$P4)*'მომწოდებლის ფორმა'!$Z4/'მომწოდებლის ფორმა'!E4+IF(OR('მომწოდებლის ფორმა'!$R4="",N('მომწოდებლის ფორმა'!$S4)=0,N('მომწოდებლის ფორმა'!$T4)=0),0,'მომწოდებლის ფორმა'!$S4*'მომწოდებლის ფორმა'!$AB4*30/'მომწოდებლის ფორმა'!$T4/SUMIF('მომწოდებლის ფორმა'!$R$4:$R$27,'მომწოდებლის ფორმა'!$R4,'მომწოდებლის ფორმა'!E$4:E$27))+IF(OR('მომწოდებლის ფორმა'!$U4="",N('მომწოდებლის ფორმა'!$V4)=0,N('მომწოდებლის ფორმა'!$W4)=0),0,'მომწოდებლის ფორმა'!$V4*'მომწოდებლის ფორმა'!$AB4*30/'მომწოდებლის ფორმა'!$W4/SUMIF('მომწოდებლის ფორმა'!$U$4:$U$27,'მომწოდებლის ფორმა'!$U4,'მომწოდებლის ფორმა'!E$4:E$27))+N('მომწოდებლის ფორმა'!$X4)*'მომწოდებლის ფორმა'!$AB4)</f>
        <v/>
      </c>
      <c r="F4" s="21" t="str">
        <f>IF(OR(N('მომწოდებლის ფორმა'!F4)&lt;=0,'მომწოდებლის ფორმა'!$M4="",'მომწოდებლის ფორმა'!$P4="",'მომწოდებლის ფორმა'!$Z4=""),"",MAX(('მომწოდებლის ფორმა'!F4+$B$33+IF('მომწოდებლის ფორმა'!$Q4="",0,30/'მომწოდებლის ფორმა'!$Q4*$B$34))/'მომწოდებლის ფორმა'!$M4,30/'მომწოდებლის ფორმა'!$P4)*'მომწოდებლის ფორმა'!$Z4/'მომწოდებლის ფორმა'!F4+IF(OR('მომწოდებლის ფორმა'!$R4="",N('მომწოდებლის ფორმა'!$S4)=0,N('მომწოდებლის ფორმა'!$T4)=0),0,'მომწოდებლის ფორმა'!$S4*'მომწოდებლის ფორმა'!$AB4*30/'მომწოდებლის ფორმა'!$T4/SUMIF('მომწოდებლის ფორმა'!$R$4:$R$27,'მომწოდებლის ფორმა'!$R4,'მომწოდებლის ფორმა'!F$4:F$27))+IF(OR('მომწოდებლის ფორმა'!$U4="",N('მომწოდებლის ფორმა'!$V4)=0,N('მომწოდებლის ფორმა'!$W4)=0),0,'მომწოდებლის ფორმა'!$V4*'მომწოდებლის ფორმა'!$AB4*30/'მომწოდებლის ფორმა'!$W4/SUMIF('მომწოდებლის ფორმა'!$U$4:$U$27,'მომწოდებლის ფორმა'!$U4,'მომწოდებლის ფორმა'!F$4:F$27))+N('მომწოდებლის ფორმა'!$X4)*'მომწოდებლის ფორმა'!$AB4)</f>
        <v/>
      </c>
      <c r="G4" s="21" t="str">
        <f>IF(OR(N('მომწოდებლის ფორმა'!G4)&lt;=0,'მომწოდებლის ფორმა'!$M4="",'მომწოდებლის ფორმა'!$P4="",'მომწოდებლის ფორმა'!$Z4=""),"",MAX(('მომწოდებლის ფორმა'!G4+$B$33+IF('მომწოდებლის ფორმა'!$Q4="",0,30/'მომწოდებლის ფორმა'!$Q4*$B$34))/'მომწოდებლის ფორმა'!$M4,30/'მომწოდებლის ფორმა'!$P4)*'მომწოდებლის ფორმა'!$Z4/'მომწოდებლის ფორმა'!G4+IF(OR('მომწოდებლის ფორმა'!$R4="",N('მომწოდებლის ფორმა'!$S4)=0,N('მომწოდებლის ფორმა'!$T4)=0),0,'მომწოდებლის ფორმა'!$S4*'მომწოდებლის ფორმა'!$AB4*30/'მომწოდებლის ფორმა'!$T4/SUMIF('მომწოდებლის ფორმა'!$R$4:$R$27,'მომწოდებლის ფორმა'!$R4,'მომწოდებლის ფორმა'!G$4:G$27))+IF(OR('მომწოდებლის ფორმა'!$U4="",N('მომწოდებლის ფორმა'!$V4)=0,N('მომწოდებლის ფორმა'!$W4)=0),0,'მომწოდებლის ფორმა'!$V4*'მომწოდებლის ფორმა'!$AB4*30/'მომწოდებლის ფორმა'!$W4/SUMIF('მომწოდებლის ფორმა'!$U$4:$U$27,'მომწოდებლის ფორმა'!$U4,'მომწოდებლის ფორმა'!G$4:G$27))+N('მომწოდებლის ფორმა'!$X4)*'მომწოდებლის ფორმა'!$AB4)</f>
        <v/>
      </c>
      <c r="H4" s="21" t="str">
        <f>IF(OR(N('მომწოდებლის ფორმა'!H4)&lt;=0,'მომწოდებლის ფორმა'!$M4="",'მომწოდებლის ფორმა'!$P4="",'მომწოდებლის ფორმა'!$Z4=""),"",MAX(('მომწოდებლის ფორმა'!H4+$B$33+IF('მომწოდებლის ფორმა'!$Q4="",0,30/'მომწოდებლის ფორმა'!$Q4*$B$34))/'მომწოდებლის ფორმა'!$M4,30/'მომწოდებლის ფორმა'!$P4)*'მომწოდებლის ფორმა'!$Z4/'მომწოდებლის ფორმა'!H4+IF(OR('მომწოდებლის ფორმა'!$R4="",N('მომწოდებლის ფორმა'!$S4)=0,N('მომწოდებლის ფორმა'!$T4)=0),0,'მომწოდებლის ფორმა'!$S4*'მომწოდებლის ფორმა'!$AB4*30/'მომწოდებლის ფორმა'!$T4/SUMIF('მომწოდებლის ფორმა'!$R$4:$R$27,'მომწოდებლის ფორმა'!$R4,'მომწოდებლის ფორმა'!H$4:H$27))+IF(OR('მომწოდებლის ფორმა'!$U4="",N('მომწოდებლის ფორმა'!$V4)=0,N('მომწოდებლის ფორმა'!$W4)=0),0,'მომწოდებლის ფორმა'!$V4*'მომწოდებლის ფორმა'!$AB4*30/'მომწოდებლის ფორმა'!$W4/SUMIF('მომწოდებლის ფორმა'!$U$4:$U$27,'მომწოდებლის ფორმა'!$U4,'მომწოდებლის ფორმა'!H$4:H$27))+N('მომწოდებლის ფორმა'!$X4)*'მომწოდებლის ფორმა'!$AB4)</f>
        <v/>
      </c>
      <c r="I4" s="21" t="str">
        <f>IF(OR(N('მომწოდებლის ფორმა'!I4)&lt;=0,'მომწოდებლის ფორმა'!$M4="",'მომწოდებლის ფორმა'!$P4="",'მომწოდებლის ფორმა'!$Z4=""),"",MAX(('მომწოდებლის ფორმა'!I4+$B$33+IF('მომწოდებლის ფორმა'!$Q4="",0,30/'მომწოდებლის ფორმა'!$Q4*$B$34))/'მომწოდებლის ფორმა'!$M4,30/'მომწოდებლის ფორმა'!$P4)*'მომწოდებლის ფორმა'!$Z4/'მომწოდებლის ფორმა'!I4+IF(OR('მომწოდებლის ფორმა'!$R4="",N('მომწოდებლის ფორმა'!$S4)=0,N('მომწოდებლის ფორმა'!$T4)=0),0,'მომწოდებლის ფორმა'!$S4*'მომწოდებლის ფორმა'!$AB4*30/'მომწოდებლის ფორმა'!$T4/SUMIF('მომწოდებლის ფორმა'!$R$4:$R$27,'მომწოდებლის ფორმა'!$R4,'მომწოდებლის ფორმა'!I$4:I$27))+IF(OR('მომწოდებლის ფორმა'!$U4="",N('მომწოდებლის ფორმა'!$V4)=0,N('მომწოდებლის ფორმა'!$W4)=0),0,'მომწოდებლის ფორმა'!$V4*'მომწოდებლის ფორმა'!$AB4*30/'მომწოდებლის ფორმა'!$W4/SUMIF('მომწოდებლის ფორმა'!$U$4:$U$27,'მომწოდებლის ფორმა'!$U4,'მომწოდებლის ფორმა'!I$4:I$27))+N('მომწოდებლის ფორმა'!$X4)*'მომწოდებლის ფორმა'!$AB4)</f>
        <v/>
      </c>
    </row>
    <row r="5" spans="1:9" x14ac:dyDescent="0.3">
      <c r="A5" s="31" t="str">
        <f>'მომწოდებლის ფორმა'!A5</f>
        <v>გლუკოზა GLU G1</v>
      </c>
      <c r="B5" s="21" t="str">
        <f>IF(OR(N('მომწოდებლის ფორმა'!B5)&lt;=0,'მომწოდებლის ფორმა'!$M5="",'მომწოდებლის ფორმა'!$P5="",'მომწოდებლის ფორმა'!$Z5=""),"",MAX(('მომწოდებლის ფორმა'!B5+$B$33+IF('მომწოდებლის ფორმა'!$Q5="",0,30/'მომწოდებლის ფორმა'!$Q5*$B$34))/'მომწოდებლის ფორმა'!$M5,30/'მომწოდებლის ფორმა'!$P5)*'მომწოდებლის ფორმა'!$Z5/'მომწოდებლის ფორმა'!B5+IF(OR('მომწოდებლის ფორმა'!$R5="",N('მომწოდებლის ფორმა'!$S5)=0,N('მომწოდებლის ფორმა'!$T5)=0),0,'მომწოდებლის ფორმა'!$S5*'მომწოდებლის ფორმა'!$AB5*30/'მომწოდებლის ფორმა'!$T5/SUMIF('მომწოდებლის ფორმა'!$R$4:$R$27,'მომწოდებლის ფორმა'!$R5,'მომწოდებლის ფორმა'!B$4:B$27))+IF(OR('მომწოდებლის ფორმა'!$U5="",N('მომწოდებლის ფორმა'!$V5)=0,N('მომწოდებლის ფორმა'!$W5)=0),0,'მომწოდებლის ფორმა'!$V5*'მომწოდებლის ფორმა'!$AB5*30/'მომწოდებლის ფორმა'!$W5/SUMIF('მომწოდებლის ფორმა'!$U$4:$U$27,'მომწოდებლის ფორმა'!$U5,'მომწოდებლის ფორმა'!B$4:B$27))+N('მომწოდებლის ფორმა'!$X5)*'მომწოდებლის ფორმა'!$AB5)</f>
        <v/>
      </c>
      <c r="C5" s="21" t="str">
        <f>IF(OR(N('მომწოდებლის ფორმა'!C5)&lt;=0,'მომწოდებლის ფორმა'!$M5="",'მომწოდებლის ფორმა'!$P5="",'მომწოდებლის ფორმა'!$Z5=""),"",MAX(('მომწოდებლის ფორმა'!C5+$B$33+IF('მომწოდებლის ფორმა'!$Q5="",0,30/'მომწოდებლის ფორმა'!$Q5*$B$34))/'მომწოდებლის ფორმა'!$M5,30/'მომწოდებლის ფორმა'!$P5)*'მომწოდებლის ფორმა'!$Z5/'მომწოდებლის ფორმა'!C5+IF(OR('მომწოდებლის ფორმა'!$R5="",N('მომწოდებლის ფორმა'!$S5)=0,N('მომწოდებლის ფორმა'!$T5)=0),0,'მომწოდებლის ფორმა'!$S5*'მომწოდებლის ფორმა'!$AB5*30/'მომწოდებლის ფორმა'!$T5/SUMIF('მომწოდებლის ფორმა'!$R$4:$R$27,'მომწოდებლის ფორმა'!$R5,'მომწოდებლის ფორმა'!C$4:C$27))+IF(OR('მომწოდებლის ფორმა'!$U5="",N('მომწოდებლის ფორმა'!$V5)=0,N('მომწოდებლის ფორმა'!$W5)=0),0,'მომწოდებლის ფორმა'!$V5*'მომწოდებლის ფორმა'!$AB5*30/'მომწოდებლის ფორმა'!$W5/SUMIF('მომწოდებლის ფორმა'!$U$4:$U$27,'მომწოდებლის ფორმა'!$U5,'მომწოდებლის ფორმა'!C$4:C$27))+N('მომწოდებლის ფორმა'!$X5)*'მომწოდებლის ფორმა'!$AB5)</f>
        <v/>
      </c>
      <c r="D5" s="21" t="str">
        <f>IF(OR(N('მომწოდებლის ფორმა'!D5)&lt;=0,'მომწოდებლის ფორმა'!$M5="",'მომწოდებლის ფორმა'!$P5="",'მომწოდებლის ფორმა'!$Z5=""),"",MAX(('მომწოდებლის ფორმა'!D5+$B$33+IF('მომწოდებლის ფორმა'!$Q5="",0,30/'მომწოდებლის ფორმა'!$Q5*$B$34))/'მომწოდებლის ფორმა'!$M5,30/'მომწოდებლის ფორმა'!$P5)*'მომწოდებლის ფორმა'!$Z5/'მომწოდებლის ფორმა'!D5+IF(OR('მომწოდებლის ფორმა'!$R5="",N('მომწოდებლის ფორმა'!$S5)=0,N('მომწოდებლის ფორმა'!$T5)=0),0,'მომწოდებლის ფორმა'!$S5*'მომწოდებლის ფორმა'!$AB5*30/'მომწოდებლის ფორმა'!$T5/SUMIF('მომწოდებლის ფორმა'!$R$4:$R$27,'მომწოდებლის ფორმა'!$R5,'მომწოდებლის ფორმა'!D$4:D$27))+IF(OR('მომწოდებლის ფორმა'!$U5="",N('მომწოდებლის ფორმა'!$V5)=0,N('მომწოდებლის ფორმა'!$W5)=0),0,'მომწოდებლის ფორმა'!$V5*'მომწოდებლის ფორმა'!$AB5*30/'მომწოდებლის ფორმა'!$W5/SUMIF('მომწოდებლის ფორმა'!$U$4:$U$27,'მომწოდებლის ფორმა'!$U5,'მომწოდებლის ფორმა'!D$4:D$27))+N('მომწოდებლის ფორმა'!$X5)*'მომწოდებლის ფორმა'!$AB5)</f>
        <v/>
      </c>
      <c r="E5" s="21" t="str">
        <f>IF(OR(N('მომწოდებლის ფორმა'!E5)&lt;=0,'მომწოდებლის ფორმა'!$M5="",'მომწოდებლის ფორმა'!$P5="",'მომწოდებლის ფორმა'!$Z5=""),"",MAX(('მომწოდებლის ფორმა'!E5+$B$33+IF('მომწოდებლის ფორმა'!$Q5="",0,30/'მომწოდებლის ფორმა'!$Q5*$B$34))/'მომწოდებლის ფორმა'!$M5,30/'მომწოდებლის ფორმა'!$P5)*'მომწოდებლის ფორმა'!$Z5/'მომწოდებლის ფორმა'!E5+IF(OR('მომწოდებლის ფორმა'!$R5="",N('მომწოდებლის ფორმა'!$S5)=0,N('მომწოდებლის ფორმა'!$T5)=0),0,'მომწოდებლის ფორმა'!$S5*'მომწოდებლის ფორმა'!$AB5*30/'მომწოდებლის ფორმა'!$T5/SUMIF('მომწოდებლის ფორმა'!$R$4:$R$27,'მომწოდებლის ფორმა'!$R5,'მომწოდებლის ფორმა'!E$4:E$27))+IF(OR('მომწოდებლის ფორმა'!$U5="",N('მომწოდებლის ფორმა'!$V5)=0,N('მომწოდებლის ფორმა'!$W5)=0),0,'მომწოდებლის ფორმა'!$V5*'მომწოდებლის ფორმა'!$AB5*30/'მომწოდებლის ფორმა'!$W5/SUMIF('მომწოდებლის ფორმა'!$U$4:$U$27,'მომწოდებლის ფორმა'!$U5,'მომწოდებლის ფორმა'!E$4:E$27))+N('მომწოდებლის ფორმა'!$X5)*'მომწოდებლის ფორმა'!$AB5)</f>
        <v/>
      </c>
      <c r="F5" s="21" t="str">
        <f>IF(OR(N('მომწოდებლის ფორმა'!F5)&lt;=0,'მომწოდებლის ფორმა'!$M5="",'მომწოდებლის ფორმა'!$P5="",'მომწოდებლის ფორმა'!$Z5=""),"",MAX(('მომწოდებლის ფორმა'!F5+$B$33+IF('მომწოდებლის ფორმა'!$Q5="",0,30/'მომწოდებლის ფორმა'!$Q5*$B$34))/'მომწოდებლის ფორმა'!$M5,30/'მომწოდებლის ფორმა'!$P5)*'მომწოდებლის ფორმა'!$Z5/'მომწოდებლის ფორმა'!F5+IF(OR('მომწოდებლის ფორმა'!$R5="",N('მომწოდებლის ფორმა'!$S5)=0,N('მომწოდებლის ფორმა'!$T5)=0),0,'მომწოდებლის ფორმა'!$S5*'მომწოდებლის ფორმა'!$AB5*30/'მომწოდებლის ფორმა'!$T5/SUMIF('მომწოდებლის ფორმა'!$R$4:$R$27,'მომწოდებლის ფორმა'!$R5,'მომწოდებლის ფორმა'!F$4:F$27))+IF(OR('მომწოდებლის ფორმა'!$U5="",N('მომწოდებლის ფორმა'!$V5)=0,N('მომწოდებლის ფორმა'!$W5)=0),0,'მომწოდებლის ფორმა'!$V5*'მომწოდებლის ფორმა'!$AB5*30/'მომწოდებლის ფორმა'!$W5/SUMIF('მომწოდებლის ფორმა'!$U$4:$U$27,'მომწოდებლის ფორმა'!$U5,'მომწოდებლის ფორმა'!F$4:F$27))+N('მომწოდებლის ფორმა'!$X5)*'მომწოდებლის ფორმა'!$AB5)</f>
        <v/>
      </c>
      <c r="G5" s="21" t="str">
        <f>IF(OR(N('მომწოდებლის ფორმა'!G5)&lt;=0,'მომწოდებლის ფორმა'!$M5="",'მომწოდებლის ფორმა'!$P5="",'მომწოდებლის ფორმა'!$Z5=""),"",MAX(('მომწოდებლის ფორმა'!G5+$B$33+IF('მომწოდებლის ფორმა'!$Q5="",0,30/'მომწოდებლის ფორმა'!$Q5*$B$34))/'მომწოდებლის ფორმა'!$M5,30/'მომწოდებლის ფორმა'!$P5)*'მომწოდებლის ფორმა'!$Z5/'მომწოდებლის ფორმა'!G5+IF(OR('მომწოდებლის ფორმა'!$R5="",N('მომწოდებლის ფორმა'!$S5)=0,N('მომწოდებლის ფორმა'!$T5)=0),0,'მომწოდებლის ფორმა'!$S5*'მომწოდებლის ფორმა'!$AB5*30/'მომწოდებლის ფორმა'!$T5/SUMIF('მომწოდებლის ფორმა'!$R$4:$R$27,'მომწოდებლის ფორმა'!$R5,'მომწოდებლის ფორმა'!G$4:G$27))+IF(OR('მომწოდებლის ფორმა'!$U5="",N('მომწოდებლის ფორმა'!$V5)=0,N('მომწოდებლის ფორმა'!$W5)=0),0,'მომწოდებლის ფორმა'!$V5*'მომწოდებლის ფორმა'!$AB5*30/'მომწოდებლის ფორმა'!$W5/SUMIF('მომწოდებლის ფორმა'!$U$4:$U$27,'მომწოდებლის ფორმა'!$U5,'მომწოდებლის ფორმა'!G$4:G$27))+N('მომწოდებლის ფორმა'!$X5)*'მომწოდებლის ფორმა'!$AB5)</f>
        <v/>
      </c>
      <c r="H5" s="21" t="str">
        <f>IF(OR(N('მომწოდებლის ფორმა'!H5)&lt;=0,'მომწოდებლის ფორმა'!$M5="",'მომწოდებლის ფორმა'!$P5="",'მომწოდებლის ფორმა'!$Z5=""),"",MAX(('მომწოდებლის ფორმა'!H5+$B$33+IF('მომწოდებლის ფორმა'!$Q5="",0,30/'მომწოდებლის ფორმა'!$Q5*$B$34))/'მომწოდებლის ფორმა'!$M5,30/'მომწოდებლის ფორმა'!$P5)*'მომწოდებლის ფორმა'!$Z5/'მომწოდებლის ფორმა'!H5+IF(OR('მომწოდებლის ფორმა'!$R5="",N('მომწოდებლის ფორმა'!$S5)=0,N('მომწოდებლის ფორმა'!$T5)=0),0,'მომწოდებლის ფორმა'!$S5*'მომწოდებლის ფორმა'!$AB5*30/'მომწოდებლის ფორმა'!$T5/SUMIF('მომწოდებლის ფორმა'!$R$4:$R$27,'მომწოდებლის ფორმა'!$R5,'მომწოდებლის ფორმა'!H$4:H$27))+IF(OR('მომწოდებლის ფორმა'!$U5="",N('მომწოდებლის ფორმა'!$V5)=0,N('მომწოდებლის ფორმა'!$W5)=0),0,'მომწოდებლის ფორმა'!$V5*'მომწოდებლის ფორმა'!$AB5*30/'მომწოდებლის ფორმა'!$W5/SUMIF('მომწოდებლის ფორმა'!$U$4:$U$27,'მომწოდებლის ფორმა'!$U5,'მომწოდებლის ფორმა'!H$4:H$27))+N('მომწოდებლის ფორმა'!$X5)*'მომწოდებლის ფორმა'!$AB5)</f>
        <v/>
      </c>
      <c r="I5" s="21" t="str">
        <f>IF(OR(N('მომწოდებლის ფორმა'!I5)&lt;=0,'მომწოდებლის ფორმა'!$M5="",'მომწოდებლის ფორმა'!$P5="",'მომწოდებლის ფორმა'!$Z5=""),"",MAX(('მომწოდებლის ფორმა'!I5+$B$33+IF('მომწოდებლის ფორმა'!$Q5="",0,30/'მომწოდებლის ფორმა'!$Q5*$B$34))/'მომწოდებლის ფორმა'!$M5,30/'მომწოდებლის ფორმა'!$P5)*'მომწოდებლის ფორმა'!$Z5/'მომწოდებლის ფორმა'!I5+IF(OR('მომწოდებლის ფორმა'!$R5="",N('მომწოდებლის ფორმა'!$S5)=0,N('მომწოდებლის ფორმა'!$T5)=0),0,'მომწოდებლის ფორმა'!$S5*'მომწოდებლის ფორმა'!$AB5*30/'მომწოდებლის ფორმა'!$T5/SUMIF('მომწოდებლის ფორმა'!$R$4:$R$27,'მომწოდებლის ფორმა'!$R5,'მომწოდებლის ფორმა'!I$4:I$27))+IF(OR('მომწოდებლის ფორმა'!$U5="",N('მომწოდებლის ფორმა'!$V5)=0,N('მომწოდებლის ფორმა'!$W5)=0),0,'მომწოდებლის ფორმა'!$V5*'მომწოდებლის ფორმა'!$AB5*30/'მომწოდებლის ფორმა'!$W5/SUMIF('მომწოდებლის ფორმა'!$U$4:$U$27,'მომწოდებლის ფორმა'!$U5,'მომწოდებლის ფორმა'!I$4:I$27))+N('მომწოდებლის ფორმა'!$X5)*'მომწოდებლის ფორმა'!$AB5)</f>
        <v/>
      </c>
    </row>
    <row r="6" spans="1:9" x14ac:dyDescent="0.3">
      <c r="A6" s="31" t="str">
        <f>'მომწოდებლის ფორმა'!A6</f>
        <v>ალანინ ამინოტრანსფერაზა ALT G1</v>
      </c>
      <c r="B6" s="21" t="str">
        <f>IF(OR(N('მომწოდებლის ფორმა'!B6)&lt;=0,'მომწოდებლის ფორმა'!$M6="",'მომწოდებლის ფორმა'!$P6="",'მომწოდებლის ფორმა'!$Z6=""),"",MAX(('მომწოდებლის ფორმა'!B6+$B$33+IF('მომწოდებლის ფორმა'!$Q6="",0,30/'მომწოდებლის ფორმა'!$Q6*$B$34))/'მომწოდებლის ფორმა'!$M6,30/'მომწოდებლის ფორმა'!$P6)*'მომწოდებლის ფორმა'!$Z6/'მომწოდებლის ფორმა'!B6+IF(OR('მომწოდებლის ფორმა'!$R6="",N('მომწოდებლის ფორმა'!$S6)=0,N('მომწოდებლის ფორმა'!$T6)=0),0,'მომწოდებლის ფორმა'!$S6*'მომწოდებლის ფორმა'!$AB6*30/'მომწოდებლის ფორმა'!$T6/SUMIF('მომწოდებლის ფორმა'!$R$4:$R$27,'მომწოდებლის ფორმა'!$R6,'მომწოდებლის ფორმა'!B$4:B$27))+IF(OR('მომწოდებლის ფორმა'!$U6="",N('მომწოდებლის ფორმა'!$V6)=0,N('მომწოდებლის ფორმა'!$W6)=0),0,'მომწოდებლის ფორმა'!$V6*'მომწოდებლის ფორმა'!$AB6*30/'მომწოდებლის ფორმა'!$W6/SUMIF('მომწოდებლის ფორმა'!$U$4:$U$27,'მომწოდებლის ფორმა'!$U6,'მომწოდებლის ფორმა'!B$4:B$27))+N('მომწოდებლის ფორმა'!$X6)*'მომწოდებლის ფორმა'!$AB6)</f>
        <v/>
      </c>
      <c r="C6" s="21" t="str">
        <f>IF(OR(N('მომწოდებლის ფორმა'!C6)&lt;=0,'მომწოდებლის ფორმა'!$M6="",'მომწოდებლის ფორმა'!$P6="",'მომწოდებლის ფორმა'!$Z6=""),"",MAX(('მომწოდებლის ფორმა'!C6+$B$33+IF('მომწოდებლის ფორმა'!$Q6="",0,30/'მომწოდებლის ფორმა'!$Q6*$B$34))/'მომწოდებლის ფორმა'!$M6,30/'მომწოდებლის ფორმა'!$P6)*'მომწოდებლის ფორმა'!$Z6/'მომწოდებლის ფორმა'!C6+IF(OR('მომწოდებლის ფორმა'!$R6="",N('მომწოდებლის ფორმა'!$S6)=0,N('მომწოდებლის ფორმა'!$T6)=0),0,'მომწოდებლის ფორმა'!$S6*'მომწოდებლის ფორმა'!$AB6*30/'მომწოდებლის ფორმა'!$T6/SUMIF('მომწოდებლის ფორმა'!$R$4:$R$27,'მომწოდებლის ფორმა'!$R6,'მომწოდებლის ფორმა'!C$4:C$27))+IF(OR('მომწოდებლის ფორმა'!$U6="",N('მომწოდებლის ფორმა'!$V6)=0,N('მომწოდებლის ფორმა'!$W6)=0),0,'მომწოდებლის ფორმა'!$V6*'მომწოდებლის ფორმა'!$AB6*30/'მომწოდებლის ფორმა'!$W6/SUMIF('მომწოდებლის ფორმა'!$U$4:$U$27,'მომწოდებლის ფორმა'!$U6,'მომწოდებლის ფორმა'!C$4:C$27))+N('მომწოდებლის ფორმა'!$X6)*'მომწოდებლის ფორმა'!$AB6)</f>
        <v/>
      </c>
      <c r="D6" s="21" t="str">
        <f>IF(OR(N('მომწოდებლის ფორმა'!D6)&lt;=0,'მომწოდებლის ფორმა'!$M6="",'მომწოდებლის ფორმა'!$P6="",'მომწოდებლის ფორმა'!$Z6=""),"",MAX(('მომწოდებლის ფორმა'!D6+$B$33+IF('მომწოდებლის ფორმა'!$Q6="",0,30/'მომწოდებლის ფორმა'!$Q6*$B$34))/'მომწოდებლის ფორმა'!$M6,30/'მომწოდებლის ფორმა'!$P6)*'მომწოდებლის ფორმა'!$Z6/'მომწოდებლის ფორმა'!D6+IF(OR('მომწოდებლის ფორმა'!$R6="",N('მომწოდებლის ფორმა'!$S6)=0,N('მომწოდებლის ფორმა'!$T6)=0),0,'მომწოდებლის ფორმა'!$S6*'მომწოდებლის ფორმა'!$AB6*30/'მომწოდებლის ფორმა'!$T6/SUMIF('მომწოდებლის ფორმა'!$R$4:$R$27,'მომწოდებლის ფორმა'!$R6,'მომწოდებლის ფორმა'!D$4:D$27))+IF(OR('მომწოდებლის ფორმა'!$U6="",N('მომწოდებლის ფორმა'!$V6)=0,N('მომწოდებლის ფორმა'!$W6)=0),0,'მომწოდებლის ფორმა'!$V6*'მომწოდებლის ფორმა'!$AB6*30/'მომწოდებლის ფორმა'!$W6/SUMIF('მომწოდებლის ფორმა'!$U$4:$U$27,'მომწოდებლის ფორმა'!$U6,'მომწოდებლის ფორმა'!D$4:D$27))+N('მომწოდებლის ფორმა'!$X6)*'მომწოდებლის ფორმა'!$AB6)</f>
        <v/>
      </c>
      <c r="E6" s="21" t="str">
        <f>IF(OR(N('მომწოდებლის ფორმა'!E6)&lt;=0,'მომწოდებლის ფორმა'!$M6="",'მომწოდებლის ფორმა'!$P6="",'მომწოდებლის ფორმა'!$Z6=""),"",MAX(('მომწოდებლის ფორმა'!E6+$B$33+IF('მომწოდებლის ფორმა'!$Q6="",0,30/'მომწოდებლის ფორმა'!$Q6*$B$34))/'მომწოდებლის ფორმა'!$M6,30/'მომწოდებლის ფორმა'!$P6)*'მომწოდებლის ფორმა'!$Z6/'მომწოდებლის ფორმა'!E6+IF(OR('მომწოდებლის ფორმა'!$R6="",N('მომწოდებლის ფორმა'!$S6)=0,N('მომწოდებლის ფორმა'!$T6)=0),0,'მომწოდებლის ფორმა'!$S6*'მომწოდებლის ფორმა'!$AB6*30/'მომწოდებლის ფორმა'!$T6/SUMIF('მომწოდებლის ფორმა'!$R$4:$R$27,'მომწოდებლის ფორმა'!$R6,'მომწოდებლის ფორმა'!E$4:E$27))+IF(OR('მომწოდებლის ფორმა'!$U6="",N('მომწოდებლის ფორმა'!$V6)=0,N('მომწოდებლის ფორმა'!$W6)=0),0,'მომწოდებლის ფორმა'!$V6*'მომწოდებლის ფორმა'!$AB6*30/'მომწოდებლის ფორმა'!$W6/SUMIF('მომწოდებლის ფორმა'!$U$4:$U$27,'მომწოდებლის ფორმა'!$U6,'მომწოდებლის ფორმა'!E$4:E$27))+N('მომწოდებლის ფორმა'!$X6)*'მომწოდებლის ფორმა'!$AB6)</f>
        <v/>
      </c>
      <c r="F6" s="21" t="str">
        <f>IF(OR(N('მომწოდებლის ფორმა'!F6)&lt;=0,'მომწოდებლის ფორმა'!$M6="",'მომწოდებლის ფორმა'!$P6="",'მომწოდებლის ფორმა'!$Z6=""),"",MAX(('მომწოდებლის ფორმა'!F6+$B$33+IF('მომწოდებლის ფორმა'!$Q6="",0,30/'მომწოდებლის ფორმა'!$Q6*$B$34))/'მომწოდებლის ფორმა'!$M6,30/'მომწოდებლის ფორმა'!$P6)*'მომწოდებლის ფორმა'!$Z6/'მომწოდებლის ფორმა'!F6+IF(OR('მომწოდებლის ფორმა'!$R6="",N('მომწოდებლის ფორმა'!$S6)=0,N('მომწოდებლის ფორმა'!$T6)=0),0,'მომწოდებლის ფორმა'!$S6*'მომწოდებლის ფორმა'!$AB6*30/'მომწოდებლის ფორმა'!$T6/SUMIF('მომწოდებლის ფორმა'!$R$4:$R$27,'მომწოდებლის ფორმა'!$R6,'მომწოდებლის ფორმა'!F$4:F$27))+IF(OR('მომწოდებლის ფორმა'!$U6="",N('მომწოდებლის ფორმა'!$V6)=0,N('მომწოდებლის ფორმა'!$W6)=0),0,'მომწოდებლის ფორმა'!$V6*'მომწოდებლის ფორმა'!$AB6*30/'მომწოდებლის ფორმა'!$W6/SUMIF('მომწოდებლის ფორმა'!$U$4:$U$27,'მომწოდებლის ფორმა'!$U6,'მომწოდებლის ფორმა'!F$4:F$27))+N('მომწოდებლის ფორმა'!$X6)*'მომწოდებლის ფორმა'!$AB6)</f>
        <v/>
      </c>
      <c r="G6" s="21" t="str">
        <f>IF(OR(N('მომწოდებლის ფორმა'!G6)&lt;=0,'მომწოდებლის ფორმა'!$M6="",'მომწოდებლის ფორმა'!$P6="",'მომწოდებლის ფორმა'!$Z6=""),"",MAX(('მომწოდებლის ფორმა'!G6+$B$33+IF('მომწოდებლის ფორმა'!$Q6="",0,30/'მომწოდებლის ფორმა'!$Q6*$B$34))/'მომწოდებლის ფორმა'!$M6,30/'მომწოდებლის ფორმა'!$P6)*'მომწოდებლის ფორმა'!$Z6/'მომწოდებლის ფორმა'!G6+IF(OR('მომწოდებლის ფორმა'!$R6="",N('მომწოდებლის ფორმა'!$S6)=0,N('მომწოდებლის ფორმა'!$T6)=0),0,'მომწოდებლის ფორმა'!$S6*'მომწოდებლის ფორმა'!$AB6*30/'მომწოდებლის ფორმა'!$T6/SUMIF('მომწოდებლის ფორმა'!$R$4:$R$27,'მომწოდებლის ფორმა'!$R6,'მომწოდებლის ფორმა'!G$4:G$27))+IF(OR('მომწოდებლის ფორმა'!$U6="",N('მომწოდებლის ფორმა'!$V6)=0,N('მომწოდებლის ფორმა'!$W6)=0),0,'მომწოდებლის ფორმა'!$V6*'მომწოდებლის ფორმა'!$AB6*30/'მომწოდებლის ფორმა'!$W6/SUMIF('მომწოდებლის ფორმა'!$U$4:$U$27,'მომწოდებლის ფორმა'!$U6,'მომწოდებლის ფორმა'!G$4:G$27))+N('მომწოდებლის ფორმა'!$X6)*'მომწოდებლის ფორმა'!$AB6)</f>
        <v/>
      </c>
      <c r="H6" s="21" t="str">
        <f>IF(OR(N('მომწოდებლის ფორმა'!H6)&lt;=0,'მომწოდებლის ფორმა'!$M6="",'მომწოდებლის ფორმა'!$P6="",'მომწოდებლის ფორმა'!$Z6=""),"",MAX(('მომწოდებლის ფორმა'!H6+$B$33+IF('მომწოდებლის ფორმა'!$Q6="",0,30/'მომწოდებლის ფორმა'!$Q6*$B$34))/'მომწოდებლის ფორმა'!$M6,30/'მომწოდებლის ფორმა'!$P6)*'მომწოდებლის ფორმა'!$Z6/'მომწოდებლის ფორმა'!H6+IF(OR('მომწოდებლის ფორმა'!$R6="",N('მომწოდებლის ფორმა'!$S6)=0,N('მომწოდებლის ფორმა'!$T6)=0),0,'მომწოდებლის ფორმა'!$S6*'მომწოდებლის ფორმა'!$AB6*30/'მომწოდებლის ფორმა'!$T6/SUMIF('მომწოდებლის ფორმა'!$R$4:$R$27,'მომწოდებლის ფორმა'!$R6,'მომწოდებლის ფორმა'!H$4:H$27))+IF(OR('მომწოდებლის ფორმა'!$U6="",N('მომწოდებლის ფორმა'!$V6)=0,N('მომწოდებლის ფორმა'!$W6)=0),0,'მომწოდებლის ფორმა'!$V6*'მომწოდებლის ფორმა'!$AB6*30/'მომწოდებლის ფორმა'!$W6/SUMIF('მომწოდებლის ფორმა'!$U$4:$U$27,'მომწოდებლის ფორმა'!$U6,'მომწოდებლის ფორმა'!H$4:H$27))+N('მომწოდებლის ფორმა'!$X6)*'მომწოდებლის ფორმა'!$AB6)</f>
        <v/>
      </c>
      <c r="I6" s="21" t="str">
        <f>IF(OR(N('მომწოდებლის ფორმა'!I6)&lt;=0,'მომწოდებლის ფორმა'!$M6="",'მომწოდებლის ფორმა'!$P6="",'მომწოდებლის ფორმა'!$Z6=""),"",MAX(('მომწოდებლის ფორმა'!I6+$B$33+IF('მომწოდებლის ფორმა'!$Q6="",0,30/'მომწოდებლის ფორმა'!$Q6*$B$34))/'მომწოდებლის ფორმა'!$M6,30/'მომწოდებლის ფორმა'!$P6)*'მომწოდებლის ფორმა'!$Z6/'მომწოდებლის ფორმა'!I6+IF(OR('მომწოდებლის ფორმა'!$R6="",N('მომწოდებლის ფორმა'!$S6)=0,N('მომწოდებლის ფორმა'!$T6)=0),0,'მომწოდებლის ფორმა'!$S6*'მომწოდებლის ფორმა'!$AB6*30/'მომწოდებლის ფორმა'!$T6/SUMIF('მომწოდებლის ფორმა'!$R$4:$R$27,'მომწოდებლის ფორმა'!$R6,'მომწოდებლის ფორმა'!I$4:I$27))+IF(OR('მომწოდებლის ფორმა'!$U6="",N('მომწოდებლის ფორმა'!$V6)=0,N('მომწოდებლის ფორმა'!$W6)=0),0,'მომწოდებლის ფორმა'!$V6*'მომწოდებლის ფორმა'!$AB6*30/'მომწოდებლის ფორმა'!$W6/SUMIF('მომწოდებლის ფორმა'!$U$4:$U$27,'მომწოდებლის ფორმა'!$U6,'მომწოდებლის ფორმა'!I$4:I$27))+N('მომწოდებლის ფორმა'!$X6)*'მომწოდებლის ფორმა'!$AB6)</f>
        <v/>
      </c>
    </row>
    <row r="7" spans="1:9" ht="28.5" customHeight="1" x14ac:dyDescent="0.3">
      <c r="A7" s="31" t="str">
        <f>'მომწოდებლის ფორმა'!A7</f>
        <v>ასპარტატ ამინოტრანსფერაზა AST G1</v>
      </c>
      <c r="B7" s="21" t="str">
        <f>IF(OR(N('მომწოდებლის ფორმა'!B7)&lt;=0,'მომწოდებლის ფორმა'!$M7="",'მომწოდებლის ფორმა'!$P7="",'მომწოდებლის ფორმა'!$Z7=""),"",MAX(('მომწოდებლის ფორმა'!B7+$B$33+IF('მომწოდებლის ფორმა'!$Q7="",0,30/'მომწოდებლის ფორმა'!$Q7*$B$34))/'მომწოდებლის ფორმა'!$M7,30/'მომწოდებლის ფორმა'!$P7)*'მომწოდებლის ფორმა'!$Z7/'მომწოდებლის ფორმა'!B7+IF(OR('მომწოდებლის ფორმა'!$R7="",N('მომწოდებლის ფორმა'!$S7)=0,N('მომწოდებლის ფორმა'!$T7)=0),0,'მომწოდებლის ფორმა'!$S7*'მომწოდებლის ფორმა'!$AB7*30/'მომწოდებლის ფორმა'!$T7/SUMIF('მომწოდებლის ფორმა'!$R$4:$R$27,'მომწოდებლის ფორმა'!$R7,'მომწოდებლის ფორმა'!B$4:B$27))+IF(OR('მომწოდებლის ფორმა'!$U7="",N('მომწოდებლის ფორმა'!$V7)=0,N('მომწოდებლის ფორმა'!$W7)=0),0,'მომწოდებლის ფორმა'!$V7*'მომწოდებლის ფორმა'!$AB7*30/'მომწოდებლის ფორმა'!$W7/SUMIF('მომწოდებლის ფორმა'!$U$4:$U$27,'მომწოდებლის ფორმა'!$U7,'მომწოდებლის ფორმა'!B$4:B$27))+N('მომწოდებლის ფორმა'!$X7)*'მომწოდებლის ფორმა'!$AB7)</f>
        <v/>
      </c>
      <c r="C7" s="21" t="str">
        <f>IF(OR(N('მომწოდებლის ფორმა'!C7)&lt;=0,'მომწოდებლის ფორმა'!$M7="",'მომწოდებლის ფორმა'!$P7="",'მომწოდებლის ფორმა'!$Z7=""),"",MAX(('მომწოდებლის ფორმა'!C7+$B$33+IF('მომწოდებლის ფორმა'!$Q7="",0,30/'მომწოდებლის ფორმა'!$Q7*$B$34))/'მომწოდებლის ფორმა'!$M7,30/'მომწოდებლის ფორმა'!$P7)*'მომწოდებლის ფორმა'!$Z7/'მომწოდებლის ფორმა'!C7+IF(OR('მომწოდებლის ფორმა'!$R7="",N('მომწოდებლის ფორმა'!$S7)=0,N('მომწოდებლის ფორმა'!$T7)=0),0,'მომწოდებლის ფორმა'!$S7*'მომწოდებლის ფორმა'!$AB7*30/'მომწოდებლის ფორმა'!$T7/SUMIF('მომწოდებლის ფორმა'!$R$4:$R$27,'მომწოდებლის ფორმა'!$R7,'მომწოდებლის ფორმა'!C$4:C$27))+IF(OR('მომწოდებლის ფორმა'!$U7="",N('მომწოდებლის ფორმა'!$V7)=0,N('მომწოდებლის ფორმა'!$W7)=0),0,'მომწოდებლის ფორმა'!$V7*'მომწოდებლის ფორმა'!$AB7*30/'მომწოდებლის ფორმა'!$W7/SUMIF('მომწოდებლის ფორმა'!$U$4:$U$27,'მომწოდებლის ფორმა'!$U7,'მომწოდებლის ფორმა'!C$4:C$27))+N('მომწოდებლის ფორმა'!$X7)*'მომწოდებლის ფორმა'!$AB7)</f>
        <v/>
      </c>
      <c r="D7" s="21" t="str">
        <f>IF(OR(N('მომწოდებლის ფორმა'!D7)&lt;=0,'მომწოდებლის ფორმა'!$M7="",'მომწოდებლის ფორმა'!$P7="",'მომწოდებლის ფორმა'!$Z7=""),"",MAX(('მომწოდებლის ფორმა'!D7+$B$33+IF('მომწოდებლის ფორმა'!$Q7="",0,30/'მომწოდებლის ფორმა'!$Q7*$B$34))/'მომწოდებლის ფორმა'!$M7,30/'მომწოდებლის ფორმა'!$P7)*'მომწოდებლის ფორმა'!$Z7/'მომწოდებლის ფორმა'!D7+IF(OR('მომწოდებლის ფორმა'!$R7="",N('მომწოდებლის ფორმა'!$S7)=0,N('მომწოდებლის ფორმა'!$T7)=0),0,'მომწოდებლის ფორმა'!$S7*'მომწოდებლის ფორმა'!$AB7*30/'მომწოდებლის ფორმა'!$T7/SUMIF('მომწოდებლის ფორმა'!$R$4:$R$27,'მომწოდებლის ფორმა'!$R7,'მომწოდებლის ფორმა'!D$4:D$27))+IF(OR('მომწოდებლის ფორმა'!$U7="",N('მომწოდებლის ფორმა'!$V7)=0,N('მომწოდებლის ფორმა'!$W7)=0),0,'მომწოდებლის ფორმა'!$V7*'მომწოდებლის ფორმა'!$AB7*30/'მომწოდებლის ფორმა'!$W7/SUMIF('მომწოდებლის ფორმა'!$U$4:$U$27,'მომწოდებლის ფორმა'!$U7,'მომწოდებლის ფორმა'!D$4:D$27))+N('მომწოდებლის ფორმა'!$X7)*'მომწოდებლის ფორმა'!$AB7)</f>
        <v/>
      </c>
      <c r="E7" s="21" t="str">
        <f>IF(OR(N('მომწოდებლის ფორმა'!E7)&lt;=0,'მომწოდებლის ფორმა'!$M7="",'მომწოდებლის ფორმა'!$P7="",'მომწოდებლის ფორმა'!$Z7=""),"",MAX(('მომწოდებლის ფორმა'!E7+$B$33+IF('მომწოდებლის ფორმა'!$Q7="",0,30/'მომწოდებლის ფორმა'!$Q7*$B$34))/'მომწოდებლის ფორმა'!$M7,30/'მომწოდებლის ფორმა'!$P7)*'მომწოდებლის ფორმა'!$Z7/'მომწოდებლის ფორმა'!E7+IF(OR('მომწოდებლის ფორმა'!$R7="",N('მომწოდებლის ფორმა'!$S7)=0,N('მომწოდებლის ფორმა'!$T7)=0),0,'მომწოდებლის ფორმა'!$S7*'მომწოდებლის ფორმა'!$AB7*30/'მომწოდებლის ფორმა'!$T7/SUMIF('მომწოდებლის ფორმა'!$R$4:$R$27,'მომწოდებლის ფორმა'!$R7,'მომწოდებლის ფორმა'!E$4:E$27))+IF(OR('მომწოდებლის ფორმა'!$U7="",N('მომწოდებლის ფორმა'!$V7)=0,N('მომწოდებლის ფორმა'!$W7)=0),0,'მომწოდებლის ფორმა'!$V7*'მომწოდებლის ფორმა'!$AB7*30/'მომწოდებლის ფორმა'!$W7/SUMIF('მომწოდებლის ფორმა'!$U$4:$U$27,'მომწოდებლის ფორმა'!$U7,'მომწოდებლის ფორმა'!E$4:E$27))+N('მომწოდებლის ფორმა'!$X7)*'მომწოდებლის ფორმა'!$AB7)</f>
        <v/>
      </c>
      <c r="F7" s="21" t="str">
        <f>IF(OR(N('მომწოდებლის ფორმა'!F7)&lt;=0,'მომწოდებლის ფორმა'!$M7="",'მომწოდებლის ფორმა'!$P7="",'მომწოდებლის ფორმა'!$Z7=""),"",MAX(('მომწოდებლის ფორმა'!F7+$B$33+IF('მომწოდებლის ფორმა'!$Q7="",0,30/'მომწოდებლის ფორმა'!$Q7*$B$34))/'მომწოდებლის ფორმა'!$M7,30/'მომწოდებლის ფორმა'!$P7)*'მომწოდებლის ფორმა'!$Z7/'მომწოდებლის ფორმა'!F7+IF(OR('მომწოდებლის ფორმა'!$R7="",N('მომწოდებლის ფორმა'!$S7)=0,N('მომწოდებლის ფორმა'!$T7)=0),0,'მომწოდებლის ფორმა'!$S7*'მომწოდებლის ფორმა'!$AB7*30/'მომწოდებლის ფორმა'!$T7/SUMIF('მომწოდებლის ფორმა'!$R$4:$R$27,'მომწოდებლის ფორმა'!$R7,'მომწოდებლის ფორმა'!F$4:F$27))+IF(OR('მომწოდებლის ფორმა'!$U7="",N('მომწოდებლის ფორმა'!$V7)=0,N('მომწოდებლის ფორმა'!$W7)=0),0,'მომწოდებლის ფორმა'!$V7*'მომწოდებლის ფორმა'!$AB7*30/'მომწოდებლის ფორმა'!$W7/SUMIF('მომწოდებლის ფორმა'!$U$4:$U$27,'მომწოდებლის ფორმა'!$U7,'მომწოდებლის ფორმა'!F$4:F$27))+N('მომწოდებლის ფორმა'!$X7)*'მომწოდებლის ფორმა'!$AB7)</f>
        <v/>
      </c>
      <c r="G7" s="21" t="str">
        <f>IF(OR(N('მომწოდებლის ფორმა'!G7)&lt;=0,'მომწოდებლის ფორმა'!$M7="",'მომწოდებლის ფორმა'!$P7="",'მომწოდებლის ფორმა'!$Z7=""),"",MAX(('მომწოდებლის ფორმა'!G7+$B$33+IF('მომწოდებლის ფორმა'!$Q7="",0,30/'მომწოდებლის ფორმა'!$Q7*$B$34))/'მომწოდებლის ფორმა'!$M7,30/'მომწოდებლის ფორმა'!$P7)*'მომწოდებლის ფორმა'!$Z7/'მომწოდებლის ფორმა'!G7+IF(OR('მომწოდებლის ფორმა'!$R7="",N('მომწოდებლის ფორმა'!$S7)=0,N('მომწოდებლის ფორმა'!$T7)=0),0,'მომწოდებლის ფორმა'!$S7*'მომწოდებლის ფორმა'!$AB7*30/'მომწოდებლის ფორმა'!$T7/SUMIF('მომწოდებლის ფორმა'!$R$4:$R$27,'მომწოდებლის ფორმა'!$R7,'მომწოდებლის ფორმა'!G$4:G$27))+IF(OR('მომწოდებლის ფორმა'!$U7="",N('მომწოდებლის ფორმა'!$V7)=0,N('მომწოდებლის ფორმა'!$W7)=0),0,'მომწოდებლის ფორმა'!$V7*'მომწოდებლის ფორმა'!$AB7*30/'მომწოდებლის ფორმა'!$W7/SUMIF('მომწოდებლის ფორმა'!$U$4:$U$27,'მომწოდებლის ფორმა'!$U7,'მომწოდებლის ფორმა'!G$4:G$27))+N('მომწოდებლის ფორმა'!$X7)*'მომწოდებლის ფორმა'!$AB7)</f>
        <v/>
      </c>
      <c r="H7" s="21" t="str">
        <f>IF(OR(N('მომწოდებლის ფორმა'!H7)&lt;=0,'მომწოდებლის ფორმა'!$M7="",'მომწოდებლის ფორმა'!$P7="",'მომწოდებლის ფორმა'!$Z7=""),"",MAX(('მომწოდებლის ფორმა'!H7+$B$33+IF('მომწოდებლის ფორმა'!$Q7="",0,30/'მომწოდებლის ფორმა'!$Q7*$B$34))/'მომწოდებლის ფორმა'!$M7,30/'მომწოდებლის ფორმა'!$P7)*'მომწოდებლის ფორმა'!$Z7/'მომწოდებლის ფორმა'!H7+IF(OR('მომწოდებლის ფორმა'!$R7="",N('მომწოდებლის ფორმა'!$S7)=0,N('მომწოდებლის ფორმა'!$T7)=0),0,'მომწოდებლის ფორმა'!$S7*'მომწოდებლის ფორმა'!$AB7*30/'მომწოდებლის ფორმა'!$T7/SUMIF('მომწოდებლის ფორმა'!$R$4:$R$27,'მომწოდებლის ფორმა'!$R7,'მომწოდებლის ფორმა'!H$4:H$27))+IF(OR('მომწოდებლის ფორმა'!$U7="",N('მომწოდებლის ფორმა'!$V7)=0,N('მომწოდებლის ფორმა'!$W7)=0),0,'მომწოდებლის ფორმა'!$V7*'მომწოდებლის ფორმა'!$AB7*30/'მომწოდებლის ფორმა'!$W7/SUMIF('მომწოდებლის ფორმა'!$U$4:$U$27,'მომწოდებლის ფორმა'!$U7,'მომწოდებლის ფორმა'!H$4:H$27))+N('მომწოდებლის ფორმა'!$X7)*'მომწოდებლის ფორმა'!$AB7)</f>
        <v/>
      </c>
      <c r="I7" s="21" t="str">
        <f>IF(OR(N('მომწოდებლის ფორმა'!I7)&lt;=0,'მომწოდებლის ფორმა'!$M7="",'მომწოდებლის ფორმა'!$P7="",'მომწოდებლის ფორმა'!$Z7=""),"",MAX(('მომწოდებლის ფორმა'!I7+$B$33+IF('მომწოდებლის ფორმა'!$Q7="",0,30/'მომწოდებლის ფორმა'!$Q7*$B$34))/'მომწოდებლის ფორმა'!$M7,30/'მომწოდებლის ფორმა'!$P7)*'მომწოდებლის ფორმა'!$Z7/'მომწოდებლის ფორმა'!I7+IF(OR('მომწოდებლის ფორმა'!$R7="",N('მომწოდებლის ფორმა'!$S7)=0,N('მომწოდებლის ფორმა'!$T7)=0),0,'მომწოდებლის ფორმა'!$S7*'მომწოდებლის ფორმა'!$AB7*30/'მომწოდებლის ფორმა'!$T7/SUMIF('მომწოდებლის ფორმა'!$R$4:$R$27,'მომწოდებლის ფორმა'!$R7,'მომწოდებლის ფორმა'!I$4:I$27))+IF(OR('მომწოდებლის ფორმა'!$U7="",N('მომწოდებლის ფორმა'!$V7)=0,N('მომწოდებლის ფორმა'!$W7)=0),0,'მომწოდებლის ფორმა'!$V7*'მომწოდებლის ფორმა'!$AB7*30/'მომწოდებლის ფორმა'!$W7/SUMIF('მომწოდებლის ფორმა'!$U$4:$U$27,'მომწოდებლის ფორმა'!$U7,'მომწოდებლის ფორმა'!I$4:I$27))+N('მომწოდებლის ფორმა'!$X7)*'მომწოდებლის ფორმა'!$AB7)</f>
        <v/>
      </c>
    </row>
    <row r="8" spans="1:9" x14ac:dyDescent="0.3">
      <c r="A8" s="31" t="str">
        <f>'მომწოდებლის ფორმა'!A8</f>
        <v>ალკალინ ფოსფატაზა ALP G1</v>
      </c>
      <c r="B8" s="21" t="str">
        <f>IF(OR(N('მომწოდებლის ფორმა'!B8)&lt;=0,'მომწოდებლის ფორმა'!$M8="",'მომწოდებლის ფორმა'!$P8="",'მომწოდებლის ფორმა'!$Z8=""),"",MAX(('მომწოდებლის ფორმა'!B8+$B$33+IF('მომწოდებლის ფორმა'!$Q8="",0,30/'მომწოდებლის ფორმა'!$Q8*$B$34))/'მომწოდებლის ფორმა'!$M8,30/'მომწოდებლის ფორმა'!$P8)*'მომწოდებლის ფორმა'!$Z8/'მომწოდებლის ფორმა'!B8+IF(OR('მომწოდებლის ფორმა'!$R8="",N('მომწოდებლის ფორმა'!$S8)=0,N('მომწოდებლის ფორმა'!$T8)=0),0,'მომწოდებლის ფორმა'!$S8*'მომწოდებლის ფორმა'!$AB8*30/'მომწოდებლის ფორმა'!$T8/SUMIF('მომწოდებლის ფორმა'!$R$4:$R$27,'მომწოდებლის ფორმა'!$R8,'მომწოდებლის ფორმა'!B$4:B$27))+IF(OR('მომწოდებლის ფორმა'!$U8="",N('მომწოდებლის ფორმა'!$V8)=0,N('მომწოდებლის ფორმა'!$W8)=0),0,'მომწოდებლის ფორმა'!$V8*'მომწოდებლის ფორმა'!$AB8*30/'მომწოდებლის ფორმა'!$W8/SUMIF('მომწოდებლის ფორმა'!$U$4:$U$27,'მომწოდებლის ფორმა'!$U8,'მომწოდებლის ფორმა'!B$4:B$27))+N('მომწოდებლის ფორმა'!$X8)*'მომწოდებლის ფორმა'!$AB8)</f>
        <v/>
      </c>
      <c r="C8" s="21" t="str">
        <f>IF(OR(N('მომწოდებლის ფორმა'!C8)&lt;=0,'მომწოდებლის ფორმა'!$M8="",'მომწოდებლის ფორმა'!$P8="",'მომწოდებლის ფორმა'!$Z8=""),"",MAX(('მომწოდებლის ფორმა'!C8+$B$33+IF('მომწოდებლის ფორმა'!$Q8="",0,30/'მომწოდებლის ფორმა'!$Q8*$B$34))/'მომწოდებლის ფორმა'!$M8,30/'მომწოდებლის ფორმა'!$P8)*'მომწოდებლის ფორმა'!$Z8/'მომწოდებლის ფორმა'!C8+IF(OR('მომწოდებლის ფორმა'!$R8="",N('მომწოდებლის ფორმა'!$S8)=0,N('მომწოდებლის ფორმა'!$T8)=0),0,'მომწოდებლის ფორმა'!$S8*'მომწოდებლის ფორმა'!$AB8*30/'მომწოდებლის ფორმა'!$T8/SUMIF('მომწოდებლის ფორმა'!$R$4:$R$27,'მომწოდებლის ფორმა'!$R8,'მომწოდებლის ფორმა'!C$4:C$27))+IF(OR('მომწოდებლის ფორმა'!$U8="",N('მომწოდებლის ფორმა'!$V8)=0,N('მომწოდებლის ფორმა'!$W8)=0),0,'მომწოდებლის ფორმა'!$V8*'მომწოდებლის ფორმა'!$AB8*30/'მომწოდებლის ფორმა'!$W8/SUMIF('მომწოდებლის ფორმა'!$U$4:$U$27,'მომწოდებლის ფორმა'!$U8,'მომწოდებლის ფორმა'!C$4:C$27))+N('მომწოდებლის ფორმა'!$X8)*'მომწოდებლის ფორმა'!$AB8)</f>
        <v/>
      </c>
      <c r="D8" s="21" t="str">
        <f>IF(OR(N('მომწოდებლის ფორმა'!D8)&lt;=0,'მომწოდებლის ფორმა'!$M8="",'მომწოდებლის ფორმა'!$P8="",'მომწოდებლის ფორმა'!$Z8=""),"",MAX(('მომწოდებლის ფორმა'!D8+$B$33+IF('მომწოდებლის ფორმა'!$Q8="",0,30/'მომწოდებლის ფორმა'!$Q8*$B$34))/'მომწოდებლის ფორმა'!$M8,30/'მომწოდებლის ფორმა'!$P8)*'მომწოდებლის ფორმა'!$Z8/'მომწოდებლის ფორმა'!D8+IF(OR('მომწოდებლის ფორმა'!$R8="",N('მომწოდებლის ფორმა'!$S8)=0,N('მომწოდებლის ფორმა'!$T8)=0),0,'მომწოდებლის ფორმა'!$S8*'მომწოდებლის ფორმა'!$AB8*30/'მომწოდებლის ფორმა'!$T8/SUMIF('მომწოდებლის ფორმა'!$R$4:$R$27,'მომწოდებლის ფორმა'!$R8,'მომწოდებლის ფორმა'!D$4:D$27))+IF(OR('მომწოდებლის ფორმა'!$U8="",N('მომწოდებლის ფორმა'!$V8)=0,N('მომწოდებლის ფორმა'!$W8)=0),0,'მომწოდებლის ფორმა'!$V8*'მომწოდებლის ფორმა'!$AB8*30/'მომწოდებლის ფორმა'!$W8/SUMIF('მომწოდებლის ფორმა'!$U$4:$U$27,'მომწოდებლის ფორმა'!$U8,'მომწოდებლის ფორმა'!D$4:D$27))+N('მომწოდებლის ფორმა'!$X8)*'მომწოდებლის ფორმა'!$AB8)</f>
        <v/>
      </c>
      <c r="E8" s="21" t="str">
        <f>IF(OR(N('მომწოდებლის ფორმა'!E8)&lt;=0,'მომწოდებლის ფორმა'!$M8="",'მომწოდებლის ფორმა'!$P8="",'მომწოდებლის ფორმა'!$Z8=""),"",MAX(('მომწოდებლის ფორმა'!E8+$B$33+IF('მომწოდებლის ფორმა'!$Q8="",0,30/'მომწოდებლის ფორმა'!$Q8*$B$34))/'მომწოდებლის ფორმა'!$M8,30/'მომწოდებლის ფორმა'!$P8)*'მომწოდებლის ფორმა'!$Z8/'მომწოდებლის ფორმა'!E8+IF(OR('მომწოდებლის ფორმა'!$R8="",N('მომწოდებლის ფორმა'!$S8)=0,N('მომწოდებლის ფორმა'!$T8)=0),0,'მომწოდებლის ფორმა'!$S8*'მომწოდებლის ფორმა'!$AB8*30/'მომწოდებლის ფორმა'!$T8/SUMIF('მომწოდებლის ფორმა'!$R$4:$R$27,'მომწოდებლის ფორმა'!$R8,'მომწოდებლის ფორმა'!E$4:E$27))+IF(OR('მომწოდებლის ფორმა'!$U8="",N('მომწოდებლის ფორმა'!$V8)=0,N('მომწოდებლის ფორმა'!$W8)=0),0,'მომწოდებლის ფორმა'!$V8*'მომწოდებლის ფორმა'!$AB8*30/'მომწოდებლის ფორმა'!$W8/SUMIF('მომწოდებლის ფორმა'!$U$4:$U$27,'მომწოდებლის ფორმა'!$U8,'მომწოდებლის ფორმა'!E$4:E$27))+N('მომწოდებლის ფორმა'!$X8)*'მომწოდებლის ფორმა'!$AB8)</f>
        <v/>
      </c>
      <c r="F8" s="21" t="str">
        <f>IF(OR(N('მომწოდებლის ფორმა'!F8)&lt;=0,'მომწოდებლის ფორმა'!$M8="",'მომწოდებლის ფორმა'!$P8="",'მომწოდებლის ფორმა'!$Z8=""),"",MAX(('მომწოდებლის ფორმა'!F8+$B$33+IF('მომწოდებლის ფორმა'!$Q8="",0,30/'მომწოდებლის ფორმა'!$Q8*$B$34))/'მომწოდებლის ფორმა'!$M8,30/'მომწოდებლის ფორმა'!$P8)*'მომწოდებლის ფორმა'!$Z8/'მომწოდებლის ფორმა'!F8+IF(OR('მომწოდებლის ფორმა'!$R8="",N('მომწოდებლის ფორმა'!$S8)=0,N('მომწოდებლის ფორმა'!$T8)=0),0,'მომწოდებლის ფორმა'!$S8*'მომწოდებლის ფორმა'!$AB8*30/'მომწოდებლის ფორმა'!$T8/SUMIF('მომწოდებლის ფორმა'!$R$4:$R$27,'მომწოდებლის ფორმა'!$R8,'მომწოდებლის ფორმა'!F$4:F$27))+IF(OR('მომწოდებლის ფორმა'!$U8="",N('მომწოდებლის ფორმა'!$V8)=0,N('მომწოდებლის ფორმა'!$W8)=0),0,'მომწოდებლის ფორმა'!$V8*'მომწოდებლის ფორმა'!$AB8*30/'მომწოდებლის ფორმა'!$W8/SUMIF('მომწოდებლის ფორმა'!$U$4:$U$27,'მომწოდებლის ფორმა'!$U8,'მომწოდებლის ფორმა'!F$4:F$27))+N('მომწოდებლის ფორმა'!$X8)*'მომწოდებლის ფორმა'!$AB8)</f>
        <v/>
      </c>
      <c r="G8" s="21" t="str">
        <f>IF(OR(N('მომწოდებლის ფორმა'!G8)&lt;=0,'მომწოდებლის ფორმა'!$M8="",'მომწოდებლის ფორმა'!$P8="",'მომწოდებლის ფორმა'!$Z8=""),"",MAX(('მომწოდებლის ფორმა'!G8+$B$33+IF('მომწოდებლის ფორმა'!$Q8="",0,30/'მომწოდებლის ფორმა'!$Q8*$B$34))/'მომწოდებლის ფორმა'!$M8,30/'მომწოდებლის ფორმა'!$P8)*'მომწოდებლის ფორმა'!$Z8/'მომწოდებლის ფორმა'!G8+IF(OR('მომწოდებლის ფორმა'!$R8="",N('მომწოდებლის ფორმა'!$S8)=0,N('მომწოდებლის ფორმა'!$T8)=0),0,'მომწოდებლის ფორმა'!$S8*'მომწოდებლის ფორმა'!$AB8*30/'მომწოდებლის ფორმა'!$T8/SUMIF('მომწოდებლის ფორმა'!$R$4:$R$27,'მომწოდებლის ფორმა'!$R8,'მომწოდებლის ფორმა'!G$4:G$27))+IF(OR('მომწოდებლის ფორმა'!$U8="",N('მომწოდებლის ფორმა'!$V8)=0,N('მომწოდებლის ფორმა'!$W8)=0),0,'მომწოდებლის ფორმა'!$V8*'მომწოდებლის ფორმა'!$AB8*30/'მომწოდებლის ფორმა'!$W8/SUMIF('მომწოდებლის ფორმა'!$U$4:$U$27,'მომწოდებლის ფორმა'!$U8,'მომწოდებლის ფორმა'!G$4:G$27))+N('მომწოდებლის ფორმა'!$X8)*'მომწოდებლის ფორმა'!$AB8)</f>
        <v/>
      </c>
      <c r="H8" s="21" t="str">
        <f>IF(OR(N('მომწოდებლის ფორმა'!H8)&lt;=0,'მომწოდებლის ფორმა'!$M8="",'მომწოდებლის ფორმა'!$P8="",'მომწოდებლის ფორმა'!$Z8=""),"",MAX(('მომწოდებლის ფორმა'!H8+$B$33+IF('მომწოდებლის ფორმა'!$Q8="",0,30/'მომწოდებლის ფორმა'!$Q8*$B$34))/'მომწოდებლის ფორმა'!$M8,30/'მომწოდებლის ფორმა'!$P8)*'მომწოდებლის ფორმა'!$Z8/'მომწოდებლის ფორმა'!H8+IF(OR('მომწოდებლის ფორმა'!$R8="",N('მომწოდებლის ფორმა'!$S8)=0,N('მომწოდებლის ფორმა'!$T8)=0),0,'მომწოდებლის ფორმა'!$S8*'მომწოდებლის ფორმა'!$AB8*30/'მომწოდებლის ფორმა'!$T8/SUMIF('მომწოდებლის ფორმა'!$R$4:$R$27,'მომწოდებლის ფორმა'!$R8,'მომწოდებლის ფორმა'!H$4:H$27))+IF(OR('მომწოდებლის ფორმა'!$U8="",N('მომწოდებლის ფორმა'!$V8)=0,N('მომწოდებლის ფორმა'!$W8)=0),0,'მომწოდებლის ფორმა'!$V8*'მომწოდებლის ფორმა'!$AB8*30/'მომწოდებლის ფორმა'!$W8/SUMIF('მომწოდებლის ფორმა'!$U$4:$U$27,'მომწოდებლის ფორმა'!$U8,'მომწოდებლის ფორმა'!H$4:H$27))+N('მომწოდებლის ფორმა'!$X8)*'მომწოდებლის ფორმა'!$AB8)</f>
        <v/>
      </c>
      <c r="I8" s="21" t="str">
        <f>IF(OR(N('მომწოდებლის ფორმა'!I8)&lt;=0,'მომწოდებლის ფორმა'!$M8="",'მომწოდებლის ფორმა'!$P8="",'მომწოდებლის ფორმა'!$Z8=""),"",MAX(('მომწოდებლის ფორმა'!I8+$B$33+IF('მომწოდებლის ფორმა'!$Q8="",0,30/'მომწოდებლის ფორმა'!$Q8*$B$34))/'მომწოდებლის ფორმა'!$M8,30/'მომწოდებლის ფორმა'!$P8)*'მომწოდებლის ფორმა'!$Z8/'მომწოდებლის ფორმა'!I8+IF(OR('მომწოდებლის ფორმა'!$R8="",N('მომწოდებლის ფორმა'!$S8)=0,N('მომწოდებლის ფორმა'!$T8)=0),0,'მომწოდებლის ფორმა'!$S8*'მომწოდებლის ფორმა'!$AB8*30/'მომწოდებლის ფორმა'!$T8/SUMIF('მომწოდებლის ფორმა'!$R$4:$R$27,'მომწოდებლის ფორმა'!$R8,'მომწოდებლის ფორმა'!I$4:I$27))+IF(OR('მომწოდებლის ფორმა'!$U8="",N('მომწოდებლის ფორმა'!$V8)=0,N('მომწოდებლის ფორმა'!$W8)=0),0,'მომწოდებლის ფორმა'!$V8*'მომწოდებლის ფორმა'!$AB8*30/'მომწოდებლის ფორმა'!$W8/SUMIF('მომწოდებლის ფორმა'!$U$4:$U$27,'მომწოდებლის ფორმა'!$U8,'მომწოდებლის ფორმა'!I$4:I$27))+N('მომწოდებლის ფორმა'!$X8)*'მომწოდებლის ფორმა'!$AB8)</f>
        <v/>
      </c>
    </row>
    <row r="9" spans="1:9" x14ac:dyDescent="0.3">
      <c r="A9" s="31" t="str">
        <f>'მომწოდებლის ფორმა'!A9</f>
        <v>y-გლუტამილ ტრანსფერაზა GGT G1</v>
      </c>
      <c r="B9" s="21" t="str">
        <f>IF(OR(N('მომწოდებლის ფორმა'!B9)&lt;=0,'მომწოდებლის ფორმა'!$M9="",'მომწოდებლის ფორმა'!$P9="",'მომწოდებლის ფორმა'!$Z9=""),"",MAX(('მომწოდებლის ფორმა'!B9+$B$33+IF('მომწოდებლის ფორმა'!$Q9="",0,30/'მომწოდებლის ფორმა'!$Q9*$B$34))/'მომწოდებლის ფორმა'!$M9,30/'მომწოდებლის ფორმა'!$P9)*'მომწოდებლის ფორმა'!$Z9/'მომწოდებლის ფორმა'!B9+IF(OR('მომწოდებლის ფორმა'!$R9="",N('მომწოდებლის ფორმა'!$S9)=0,N('მომწოდებლის ფორმა'!$T9)=0),0,'მომწოდებლის ფორმა'!$S9*'მომწოდებლის ფორმა'!$AB9*30/'მომწოდებლის ფორმა'!$T9/SUMIF('მომწოდებლის ფორმა'!$R$4:$R$27,'მომწოდებლის ფორმა'!$R9,'მომწოდებლის ფორმა'!B$4:B$27))+IF(OR('მომწოდებლის ფორმა'!$U9="",N('მომწოდებლის ფორმა'!$V9)=0,N('მომწოდებლის ფორმა'!$W9)=0),0,'მომწოდებლის ფორმა'!$V9*'მომწოდებლის ფორმა'!$AB9*30/'მომწოდებლის ფორმა'!$W9/SUMIF('მომწოდებლის ფორმა'!$U$4:$U$27,'მომწოდებლის ფორმა'!$U9,'მომწოდებლის ფორმა'!B$4:B$27))+N('მომწოდებლის ფორმა'!$X9)*'მომწოდებლის ფორმა'!$AB9)</f>
        <v/>
      </c>
      <c r="C9" s="21" t="str">
        <f>IF(OR(N('მომწოდებლის ფორმა'!C9)&lt;=0,'მომწოდებლის ფორმა'!$M9="",'მომწოდებლის ფორმა'!$P9="",'მომწოდებლის ფორმა'!$Z9=""),"",MAX(('მომწოდებლის ფორმა'!C9+$B$33+IF('მომწოდებლის ფორმა'!$Q9="",0,30/'მომწოდებლის ფორმა'!$Q9*$B$34))/'მომწოდებლის ფორმა'!$M9,30/'მომწოდებლის ფორმა'!$P9)*'მომწოდებლის ფორმა'!$Z9/'მომწოდებლის ფორმა'!C9+IF(OR('მომწოდებლის ფორმა'!$R9="",N('მომწოდებლის ფორმა'!$S9)=0,N('მომწოდებლის ფორმა'!$T9)=0),0,'მომწოდებლის ფორმა'!$S9*'მომწოდებლის ფორმა'!$AB9*30/'მომწოდებლის ფორმა'!$T9/SUMIF('მომწოდებლის ფორმა'!$R$4:$R$27,'მომწოდებლის ფორმა'!$R9,'მომწოდებლის ფორმა'!C$4:C$27))+IF(OR('მომწოდებლის ფორმა'!$U9="",N('მომწოდებლის ფორმა'!$V9)=0,N('მომწოდებლის ფორმა'!$W9)=0),0,'მომწოდებლის ფორმა'!$V9*'მომწოდებლის ფორმა'!$AB9*30/'მომწოდებლის ფორმა'!$W9/SUMIF('მომწოდებლის ფორმა'!$U$4:$U$27,'მომწოდებლის ფორმა'!$U9,'მომწოდებლის ფორმა'!C$4:C$27))+N('მომწოდებლის ფორმა'!$X9)*'მომწოდებლის ფორმა'!$AB9)</f>
        <v/>
      </c>
      <c r="D9" s="21" t="str">
        <f>IF(OR(N('მომწოდებლის ფორმა'!D9)&lt;=0,'მომწოდებლის ფორმა'!$M9="",'მომწოდებლის ფორმა'!$P9="",'მომწოდებლის ფორმა'!$Z9=""),"",MAX(('მომწოდებლის ფორმა'!D9+$B$33+IF('მომწოდებლის ფორმა'!$Q9="",0,30/'მომწოდებლის ფორმა'!$Q9*$B$34))/'მომწოდებლის ფორმა'!$M9,30/'მომწოდებლის ფორმა'!$P9)*'მომწოდებლის ფორმა'!$Z9/'მომწოდებლის ფორმა'!D9+IF(OR('მომწოდებლის ფორმა'!$R9="",N('მომწოდებლის ფორმა'!$S9)=0,N('მომწოდებლის ფორმა'!$T9)=0),0,'მომწოდებლის ფორმა'!$S9*'მომწოდებლის ფორმა'!$AB9*30/'მომწოდებლის ფორმა'!$T9/SUMIF('მომწოდებლის ფორმა'!$R$4:$R$27,'მომწოდებლის ფორმა'!$R9,'მომწოდებლის ფორმა'!D$4:D$27))+IF(OR('მომწოდებლის ფორმა'!$U9="",N('მომწოდებლის ფორმა'!$V9)=0,N('მომწოდებლის ფორმა'!$W9)=0),0,'მომწოდებლის ფორმა'!$V9*'მომწოდებლის ფორმა'!$AB9*30/'მომწოდებლის ფორმა'!$W9/SUMIF('მომწოდებლის ფორმა'!$U$4:$U$27,'მომწოდებლის ფორმა'!$U9,'მომწოდებლის ფორმა'!D$4:D$27))+N('მომწოდებლის ფორმა'!$X9)*'მომწოდებლის ფორმა'!$AB9)</f>
        <v/>
      </c>
      <c r="E9" s="21" t="str">
        <f>IF(OR(N('მომწოდებლის ფორმა'!E9)&lt;=0,'მომწოდებლის ფორმა'!$M9="",'მომწოდებლის ფორმა'!$P9="",'მომწოდებლის ფორმა'!$Z9=""),"",MAX(('მომწოდებლის ფორმა'!E9+$B$33+IF('მომწოდებლის ფორმა'!$Q9="",0,30/'მომწოდებლის ფორმა'!$Q9*$B$34))/'მომწოდებლის ფორმა'!$M9,30/'მომწოდებლის ფორმა'!$P9)*'მომწოდებლის ფორმა'!$Z9/'მომწოდებლის ფორმა'!E9+IF(OR('მომწოდებლის ფორმა'!$R9="",N('მომწოდებლის ფორმა'!$S9)=0,N('მომწოდებლის ფორმა'!$T9)=0),0,'მომწოდებლის ფორმა'!$S9*'მომწოდებლის ფორმა'!$AB9*30/'მომწოდებლის ფორმა'!$T9/SUMIF('მომწოდებლის ფორმა'!$R$4:$R$27,'მომწოდებლის ფორმა'!$R9,'მომწოდებლის ფორმა'!E$4:E$27))+IF(OR('მომწოდებლის ფორმა'!$U9="",N('მომწოდებლის ფორმა'!$V9)=0,N('მომწოდებლის ფორმა'!$W9)=0),0,'მომწოდებლის ფორმა'!$V9*'მომწოდებლის ფორმა'!$AB9*30/'მომწოდებლის ფორმა'!$W9/SUMIF('მომწოდებლის ფორმა'!$U$4:$U$27,'მომწოდებლის ფორმა'!$U9,'მომწოდებლის ფორმა'!E$4:E$27))+N('მომწოდებლის ფორმა'!$X9)*'მომწოდებლის ფორმა'!$AB9)</f>
        <v/>
      </c>
      <c r="F9" s="21" t="str">
        <f>IF(OR(N('მომწოდებლის ფორმა'!F9)&lt;=0,'მომწოდებლის ფორმა'!$M9="",'მომწოდებლის ფორმა'!$P9="",'მომწოდებლის ფორმა'!$Z9=""),"",MAX(('მომწოდებლის ფორმა'!F9+$B$33+IF('მომწოდებლის ფორმა'!$Q9="",0,30/'მომწოდებლის ფორმა'!$Q9*$B$34))/'მომწოდებლის ფორმა'!$M9,30/'მომწოდებლის ფორმა'!$P9)*'მომწოდებლის ფორმა'!$Z9/'მომწოდებლის ფორმა'!F9+IF(OR('მომწოდებლის ფორმა'!$R9="",N('მომწოდებლის ფორმა'!$S9)=0,N('მომწოდებლის ფორმა'!$T9)=0),0,'მომწოდებლის ფორმა'!$S9*'მომწოდებლის ფორმა'!$AB9*30/'მომწოდებლის ფორმა'!$T9/SUMIF('მომწოდებლის ფორმა'!$R$4:$R$27,'მომწოდებლის ფორმა'!$R9,'მომწოდებლის ფორმა'!F$4:F$27))+IF(OR('მომწოდებლის ფორმა'!$U9="",N('მომწოდებლის ფორმა'!$V9)=0,N('მომწოდებლის ფორმა'!$W9)=0),0,'მომწოდებლის ფორმა'!$V9*'მომწოდებლის ფორმა'!$AB9*30/'მომწოდებლის ფორმა'!$W9/SUMIF('მომწოდებლის ფორმა'!$U$4:$U$27,'მომწოდებლის ფორმა'!$U9,'მომწოდებლის ფორმა'!F$4:F$27))+N('მომწოდებლის ფორმა'!$X9)*'მომწოდებლის ფორმა'!$AB9)</f>
        <v/>
      </c>
      <c r="G9" s="21" t="str">
        <f>IF(OR(N('მომწოდებლის ფორმა'!G9)&lt;=0,'მომწოდებლის ფორმა'!$M9="",'მომწოდებლის ფორმა'!$P9="",'მომწოდებლის ფორმა'!$Z9=""),"",MAX(('მომწოდებლის ფორმა'!G9+$B$33+IF('მომწოდებლის ფორმა'!$Q9="",0,30/'მომწოდებლის ფორმა'!$Q9*$B$34))/'მომწოდებლის ფორმა'!$M9,30/'მომწოდებლის ფორმა'!$P9)*'მომწოდებლის ფორმა'!$Z9/'მომწოდებლის ფორმა'!G9+IF(OR('მომწოდებლის ფორმა'!$R9="",N('მომწოდებლის ფორმა'!$S9)=0,N('მომწოდებლის ფორმა'!$T9)=0),0,'მომწოდებლის ფორმა'!$S9*'მომწოდებლის ფორმა'!$AB9*30/'მომწოდებლის ფორმა'!$T9/SUMIF('მომწოდებლის ფორმა'!$R$4:$R$27,'მომწოდებლის ფორმა'!$R9,'მომწოდებლის ფორმა'!G$4:G$27))+IF(OR('მომწოდებლის ფორმა'!$U9="",N('მომწოდებლის ფორმა'!$V9)=0,N('მომწოდებლის ფორმა'!$W9)=0),0,'მომწოდებლის ფორმა'!$V9*'მომწოდებლის ფორმა'!$AB9*30/'მომწოდებლის ფორმა'!$W9/SUMIF('მომწოდებლის ფორმა'!$U$4:$U$27,'მომწოდებლის ფორმა'!$U9,'მომწოდებლის ფორმა'!G$4:G$27))+N('მომწოდებლის ფორმა'!$X9)*'მომწოდებლის ფორმა'!$AB9)</f>
        <v/>
      </c>
      <c r="H9" s="21" t="str">
        <f>IF(OR(N('მომწოდებლის ფორმა'!H9)&lt;=0,'მომწოდებლის ფორმა'!$M9="",'მომწოდებლის ფორმა'!$P9="",'მომწოდებლის ფორმა'!$Z9=""),"",MAX(('მომწოდებლის ფორმა'!H9+$B$33+IF('მომწოდებლის ფორმა'!$Q9="",0,30/'მომწოდებლის ფორმა'!$Q9*$B$34))/'მომწოდებლის ფორმა'!$M9,30/'მომწოდებლის ფორმა'!$P9)*'მომწოდებლის ფორმა'!$Z9/'მომწოდებლის ფორმა'!H9+IF(OR('მომწოდებლის ფორმა'!$R9="",N('მომწოდებლის ფორმა'!$S9)=0,N('მომწოდებლის ფორმა'!$T9)=0),0,'მომწოდებლის ფორმა'!$S9*'მომწოდებლის ფორმა'!$AB9*30/'მომწოდებლის ფორმა'!$T9/SUMIF('მომწოდებლის ფორმა'!$R$4:$R$27,'მომწოდებლის ფორმა'!$R9,'მომწოდებლის ფორმა'!H$4:H$27))+IF(OR('მომწოდებლის ფორმა'!$U9="",N('მომწოდებლის ფორმა'!$V9)=0,N('მომწოდებლის ფორმა'!$W9)=0),0,'მომწოდებლის ფორმა'!$V9*'მომწოდებლის ფორმა'!$AB9*30/'მომწოდებლის ფორმა'!$W9/SUMIF('მომწოდებლის ფორმა'!$U$4:$U$27,'მომწოდებლის ფორმა'!$U9,'მომწოდებლის ფორმა'!H$4:H$27))+N('მომწოდებლის ფორმა'!$X9)*'მომწოდებლის ფორმა'!$AB9)</f>
        <v/>
      </c>
      <c r="I9" s="21" t="str">
        <f>IF(OR(N('მომწოდებლის ფორმა'!I9)&lt;=0,'მომწოდებლის ფორმა'!$M9="",'მომწოდებლის ფორმა'!$P9="",'მომწოდებლის ფორმა'!$Z9=""),"",MAX(('მომწოდებლის ფორმა'!I9+$B$33+IF('მომწოდებლის ფორმა'!$Q9="",0,30/'მომწოდებლის ფორმა'!$Q9*$B$34))/'მომწოდებლის ფორმა'!$M9,30/'მომწოდებლის ფორმა'!$P9)*'მომწოდებლის ფორმა'!$Z9/'მომწოდებლის ფორმა'!I9+IF(OR('მომწოდებლის ფორმა'!$R9="",N('მომწოდებლის ფორმა'!$S9)=0,N('მომწოდებლის ფორმა'!$T9)=0),0,'მომწოდებლის ფორმა'!$S9*'მომწოდებლის ფორმა'!$AB9*30/'მომწოდებლის ფორმა'!$T9/SUMIF('მომწოდებლის ფორმა'!$R$4:$R$27,'მომწოდებლის ფორმა'!$R9,'მომწოდებლის ფორმა'!I$4:I$27))+IF(OR('მომწოდებლის ფორმა'!$U9="",N('მომწოდებლის ფორმა'!$V9)=0,N('მომწოდებლის ფორმა'!$W9)=0),0,'მომწოდებლის ფორმა'!$V9*'მომწოდებლის ფორმა'!$AB9*30/'მომწოდებლის ფორმა'!$W9/SUMIF('მომწოდებლის ფორმა'!$U$4:$U$27,'მომწოდებლის ფორმა'!$U9,'მომწოდებლის ფორმა'!I$4:I$27))+N('მომწოდებლის ფორმა'!$X9)*'მომწოდებლის ფორმა'!$AB9)</f>
        <v/>
      </c>
    </row>
    <row r="10" spans="1:9" x14ac:dyDescent="0.3">
      <c r="A10" s="31" t="str">
        <f>'მომწოდებლის ფორმა'!A10</f>
        <v>სრული  ბილირუბინი TBIL  G1</v>
      </c>
      <c r="B10" s="21" t="str">
        <f>IF(OR(N('მომწოდებლის ფორმა'!B10)&lt;=0,'მომწოდებლის ფორმა'!$M10="",'მომწოდებლის ფორმა'!$P10="",'მომწოდებლის ფორმა'!$Z10=""),"",MAX(('მომწოდებლის ფორმა'!B10+$B$33+IF('მომწოდებლის ფორმა'!$Q10="",0,30/'მომწოდებლის ფორმა'!$Q10*$B$34))/'მომწოდებლის ფორმა'!$M10,30/'მომწოდებლის ფორმა'!$P10)*'მომწოდებლის ფორმა'!$Z10/'მომწოდებლის ფორმა'!B10+IF(OR('მომწოდებლის ფორმა'!$R10="",N('მომწოდებლის ფორმა'!$S10)=0,N('მომწოდებლის ფორმა'!$T10)=0),0,'მომწოდებლის ფორმა'!$S10*'მომწოდებლის ფორმა'!$AB10*30/'მომწოდებლის ფორმა'!$T10/SUMIF('მომწოდებლის ფორმა'!$R$4:$R$27,'მომწოდებლის ფორმა'!$R10,'მომწოდებლის ფორმა'!B$4:B$27))+IF(OR('მომწოდებლის ფორმა'!$U10="",N('მომწოდებლის ფორმა'!$V10)=0,N('მომწოდებლის ფორმა'!$W10)=0),0,'მომწოდებლის ფორმა'!$V10*'მომწოდებლის ფორმა'!$AB10*30/'მომწოდებლის ფორმა'!$W10/SUMIF('მომწოდებლის ფორმა'!$U$4:$U$27,'მომწოდებლის ფორმა'!$U10,'მომწოდებლის ფორმა'!B$4:B$27))+N('მომწოდებლის ფორმა'!$X10)*'მომწოდებლის ფორმა'!$AB10)</f>
        <v/>
      </c>
      <c r="C10" s="21" t="str">
        <f>IF(OR(N('მომწოდებლის ფორმა'!C10)&lt;=0,'მომწოდებლის ფორმა'!$M10="",'მომწოდებლის ფორმა'!$P10="",'მომწოდებლის ფორმა'!$Z10=""),"",MAX(('მომწოდებლის ფორმა'!C10+$B$33+IF('მომწოდებლის ფორმა'!$Q10="",0,30/'მომწოდებლის ფორმა'!$Q10*$B$34))/'მომწოდებლის ფორმა'!$M10,30/'მომწოდებლის ფორმა'!$P10)*'მომწოდებლის ფორმა'!$Z10/'მომწოდებლის ფორმა'!C10+IF(OR('მომწოდებლის ფორმა'!$R10="",N('მომწოდებლის ფორმა'!$S10)=0,N('მომწოდებლის ფორმა'!$T10)=0),0,'მომწოდებლის ფორმა'!$S10*'მომწოდებლის ფორმა'!$AB10*30/'მომწოდებლის ფორმა'!$T10/SUMIF('მომწოდებლის ფორმა'!$R$4:$R$27,'მომწოდებლის ფორმა'!$R10,'მომწოდებლის ფორმა'!C$4:C$27))+IF(OR('მომწოდებლის ფორმა'!$U10="",N('მომწოდებლის ფორმა'!$V10)=0,N('მომწოდებლის ფორმა'!$W10)=0),0,'მომწოდებლის ფორმა'!$V10*'მომწოდებლის ფორმა'!$AB10*30/'მომწოდებლის ფორმა'!$W10/SUMIF('მომწოდებლის ფორმა'!$U$4:$U$27,'მომწოდებლის ფორმა'!$U10,'მომწოდებლის ფორმა'!C$4:C$27))+N('მომწოდებლის ფორმა'!$X10)*'მომწოდებლის ფორმა'!$AB10)</f>
        <v/>
      </c>
      <c r="D10" s="21" t="str">
        <f>IF(OR(N('მომწოდებლის ფორმა'!D10)&lt;=0,'მომწოდებლის ფორმა'!$M10="",'მომწოდებლის ფორმა'!$P10="",'მომწოდებლის ფორმა'!$Z10=""),"",MAX(('მომწოდებლის ფორმა'!D10+$B$33+IF('მომწოდებლის ფორმა'!$Q10="",0,30/'მომწოდებლის ფორმა'!$Q10*$B$34))/'მომწოდებლის ფორმა'!$M10,30/'მომწოდებლის ფორმა'!$P10)*'მომწოდებლის ფორმა'!$Z10/'მომწოდებლის ფორმა'!D10+IF(OR('მომწოდებლის ფორმა'!$R10="",N('მომწოდებლის ფორმა'!$S10)=0,N('მომწოდებლის ფორმა'!$T10)=0),0,'მომწოდებლის ფორმა'!$S10*'მომწოდებლის ფორმა'!$AB10*30/'მომწოდებლის ფორმა'!$T10/SUMIF('მომწოდებლის ფორმა'!$R$4:$R$27,'მომწოდებლის ფორმა'!$R10,'მომწოდებლის ფორმა'!D$4:D$27))+IF(OR('მომწოდებლის ფორმა'!$U10="",N('მომწოდებლის ფორმა'!$V10)=0,N('მომწოდებლის ფორმა'!$W10)=0),0,'მომწოდებლის ფორმა'!$V10*'მომწოდებლის ფორმა'!$AB10*30/'მომწოდებლის ფორმა'!$W10/SUMIF('მომწოდებლის ფორმა'!$U$4:$U$27,'მომწოდებლის ფორმა'!$U10,'მომწოდებლის ფორმა'!D$4:D$27))+N('მომწოდებლის ფორმა'!$X10)*'მომწოდებლის ფორმა'!$AB10)</f>
        <v/>
      </c>
      <c r="E10" s="21" t="str">
        <f>IF(OR(N('მომწოდებლის ფორმა'!E10)&lt;=0,'მომწოდებლის ფორმა'!$M10="",'მომწოდებლის ფორმა'!$P10="",'მომწოდებლის ფორმა'!$Z10=""),"",MAX(('მომწოდებლის ფორმა'!E10+$B$33+IF('მომწოდებლის ფორმა'!$Q10="",0,30/'მომწოდებლის ფორმა'!$Q10*$B$34))/'მომწოდებლის ფორმა'!$M10,30/'მომწოდებლის ფორმა'!$P10)*'მომწოდებლის ფორმა'!$Z10/'მომწოდებლის ფორმა'!E10+IF(OR('მომწოდებლის ფორმა'!$R10="",N('მომწოდებლის ფორმა'!$S10)=0,N('მომწოდებლის ფორმა'!$T10)=0),0,'მომწოდებლის ფორმა'!$S10*'მომწოდებლის ფორმა'!$AB10*30/'მომწოდებლის ფორმა'!$T10/SUMIF('მომწოდებლის ფორმა'!$R$4:$R$27,'მომწოდებლის ფორმა'!$R10,'მომწოდებლის ფორმა'!E$4:E$27))+IF(OR('მომწოდებლის ფორმა'!$U10="",N('მომწოდებლის ფორმა'!$V10)=0,N('მომწოდებლის ფორმა'!$W10)=0),0,'მომწოდებლის ფორმა'!$V10*'მომწოდებლის ფორმა'!$AB10*30/'მომწოდებლის ფორმა'!$W10/SUMIF('მომწოდებლის ფორმა'!$U$4:$U$27,'მომწოდებლის ფორმა'!$U10,'მომწოდებლის ფორმა'!E$4:E$27))+N('მომწოდებლის ფორმა'!$X10)*'მომწოდებლის ფორმა'!$AB10)</f>
        <v/>
      </c>
      <c r="F10" s="21" t="str">
        <f>IF(OR(N('მომწოდებლის ფორმა'!F10)&lt;=0,'მომწოდებლის ფორმა'!$M10="",'მომწოდებლის ფორმა'!$P10="",'მომწოდებლის ფორმა'!$Z10=""),"",MAX(('მომწოდებლის ფორმა'!F10+$B$33+IF('მომწოდებლის ფორმა'!$Q10="",0,30/'მომწოდებლის ფორმა'!$Q10*$B$34))/'მომწოდებლის ფორმა'!$M10,30/'მომწოდებლის ფორმა'!$P10)*'მომწოდებლის ფორმა'!$Z10/'მომწოდებლის ფორმა'!F10+IF(OR('მომწოდებლის ფორმა'!$R10="",N('მომწოდებლის ფორმა'!$S10)=0,N('მომწოდებლის ფორმა'!$T10)=0),0,'მომწოდებლის ფორმა'!$S10*'მომწოდებლის ფორმა'!$AB10*30/'მომწოდებლის ფორმა'!$T10/SUMIF('მომწოდებლის ფორმა'!$R$4:$R$27,'მომწოდებლის ფორმა'!$R10,'მომწოდებლის ფორმა'!F$4:F$27))+IF(OR('მომწოდებლის ფორმა'!$U10="",N('მომწოდებლის ფორმა'!$V10)=0,N('მომწოდებლის ფორმა'!$W10)=0),0,'მომწოდებლის ფორმა'!$V10*'მომწოდებლის ფორმა'!$AB10*30/'მომწოდებლის ფორმა'!$W10/SUMIF('მომწოდებლის ფორმა'!$U$4:$U$27,'მომწოდებლის ფორმა'!$U10,'მომწოდებლის ფორმა'!F$4:F$27))+N('მომწოდებლის ფორმა'!$X10)*'მომწოდებლის ფორმა'!$AB10)</f>
        <v/>
      </c>
      <c r="G10" s="21" t="str">
        <f>IF(OR(N('მომწოდებლის ფორმა'!G10)&lt;=0,'მომწოდებლის ფორმა'!$M10="",'მომწოდებლის ფორმა'!$P10="",'მომწოდებლის ფორმა'!$Z10=""),"",MAX(('მომწოდებლის ფორმა'!G10+$B$33+IF('მომწოდებლის ფორმა'!$Q10="",0,30/'მომწოდებლის ფორმა'!$Q10*$B$34))/'მომწოდებლის ფორმა'!$M10,30/'მომწოდებლის ფორმა'!$P10)*'მომწოდებლის ფორმა'!$Z10/'მომწოდებლის ფორმა'!G10+IF(OR('მომწოდებლის ფორმა'!$R10="",N('მომწოდებლის ფორმა'!$S10)=0,N('მომწოდებლის ფორმა'!$T10)=0),0,'მომწოდებლის ფორმა'!$S10*'მომწოდებლის ფორმა'!$AB10*30/'მომწოდებლის ფორმა'!$T10/SUMIF('მომწოდებლის ფორმა'!$R$4:$R$27,'მომწოდებლის ფორმა'!$R10,'მომწოდებლის ფორმა'!G$4:G$27))+IF(OR('მომწოდებლის ფორმა'!$U10="",N('მომწოდებლის ფორმა'!$V10)=0,N('მომწოდებლის ფორმა'!$W10)=0),0,'მომწოდებლის ფორმა'!$V10*'მომწოდებლის ფორმა'!$AB10*30/'მომწოდებლის ფორმა'!$W10/SUMIF('მომწოდებლის ფორმა'!$U$4:$U$27,'მომწოდებლის ფორმა'!$U10,'მომწოდებლის ფორმა'!G$4:G$27))+N('მომწოდებლის ფორმა'!$X10)*'მომწოდებლის ფორმა'!$AB10)</f>
        <v/>
      </c>
      <c r="H10" s="21" t="str">
        <f>IF(OR(N('მომწოდებლის ფორმა'!H10)&lt;=0,'მომწოდებლის ფორმა'!$M10="",'მომწოდებლის ფორმა'!$P10="",'მომწოდებლის ფორმა'!$Z10=""),"",MAX(('მომწოდებლის ფორმა'!H10+$B$33+IF('მომწოდებლის ფორმა'!$Q10="",0,30/'მომწოდებლის ფორმა'!$Q10*$B$34))/'მომწოდებლის ფორმა'!$M10,30/'მომწოდებლის ფორმა'!$P10)*'მომწოდებლის ფორმა'!$Z10/'მომწოდებლის ფორმა'!H10+IF(OR('მომწოდებლის ფორმა'!$R10="",N('მომწოდებლის ფორმა'!$S10)=0,N('მომწოდებლის ფორმა'!$T10)=0),0,'მომწოდებლის ფორმა'!$S10*'მომწოდებლის ფორმა'!$AB10*30/'მომწოდებლის ფორმა'!$T10/SUMIF('მომწოდებლის ფორმა'!$R$4:$R$27,'მომწოდებლის ფორმა'!$R10,'მომწოდებლის ფორმა'!H$4:H$27))+IF(OR('მომწოდებლის ფორმა'!$U10="",N('მომწოდებლის ფორმა'!$V10)=0,N('მომწოდებლის ფორმა'!$W10)=0),0,'მომწოდებლის ფორმა'!$V10*'მომწოდებლის ფორმა'!$AB10*30/'მომწოდებლის ფორმა'!$W10/SUMIF('მომწოდებლის ფორმა'!$U$4:$U$27,'მომწოდებლის ფორმა'!$U10,'მომწოდებლის ფორმა'!H$4:H$27))+N('მომწოდებლის ფორმა'!$X10)*'მომწოდებლის ფორმა'!$AB10)</f>
        <v/>
      </c>
      <c r="I10" s="21" t="str">
        <f>IF(OR(N('მომწოდებლის ფორმა'!I10)&lt;=0,'მომწოდებლის ფორმა'!$M10="",'მომწოდებლის ფორმა'!$P10="",'მომწოდებლის ფორმა'!$Z10=""),"",MAX(('მომწოდებლის ფორმა'!I10+$B$33+IF('მომწოდებლის ფორმა'!$Q10="",0,30/'მომწოდებლის ფორმა'!$Q10*$B$34))/'მომწოდებლის ფორმა'!$M10,30/'მომწოდებლის ფორმა'!$P10)*'მომწოდებლის ფორმა'!$Z10/'მომწოდებლის ფორმა'!I10+IF(OR('მომწოდებლის ფორმა'!$R10="",N('მომწოდებლის ფორმა'!$S10)=0,N('მომწოდებლის ფორმა'!$T10)=0),0,'მომწოდებლის ფორმა'!$S10*'მომწოდებლის ფორმა'!$AB10*30/'მომწოდებლის ფორმა'!$T10/SUMIF('მომწოდებლის ფორმა'!$R$4:$R$27,'მომწოდებლის ფორმა'!$R10,'მომწოდებლის ფორმა'!I$4:I$27))+IF(OR('მომწოდებლის ფორმა'!$U10="",N('მომწოდებლის ფორმა'!$V10)=0,N('მომწოდებლის ფორმა'!$W10)=0),0,'მომწოდებლის ფორმა'!$V10*'მომწოდებლის ფორმა'!$AB10*30/'მომწოდებლის ფორმა'!$W10/SUMIF('მომწოდებლის ფორმა'!$U$4:$U$27,'მომწოდებლის ფორმა'!$U10,'მომწოდებლის ფორმა'!I$4:I$27))+N('მომწოდებლის ფორმა'!$X10)*'მომწოდებლის ფორმა'!$AB10)</f>
        <v/>
      </c>
    </row>
    <row r="11" spans="1:9" x14ac:dyDescent="0.3">
      <c r="A11" s="31" t="str">
        <f>'მომწოდებლის ფორმა'!A11</f>
        <v>სრული პროტეინი TP G1</v>
      </c>
      <c r="B11" s="21" t="str">
        <f>IF(OR(N('მომწოდებლის ფორმა'!B11)&lt;=0,'მომწოდებლის ფორმა'!$M11="",'მომწოდებლის ფორმა'!$P11="",'მომწოდებლის ფორმა'!$Z11=""),"",MAX(('მომწოდებლის ფორმა'!B11+$B$33+IF('მომწოდებლის ფორმა'!$Q11="",0,30/'მომწოდებლის ფორმა'!$Q11*$B$34))/'მომწოდებლის ფორმა'!$M11,30/'მომწოდებლის ფორმა'!$P11)*'მომწოდებლის ფორმა'!$Z11/'მომწოდებლის ფორმა'!B11+IF(OR('მომწოდებლის ფორმა'!$R11="",N('მომწოდებლის ფორმა'!$S11)=0,N('მომწოდებლის ფორმა'!$T11)=0),0,'მომწოდებლის ფორმა'!$S11*'მომწოდებლის ფორმა'!$AB11*30/'მომწოდებლის ფორმა'!$T11/SUMIF('მომწოდებლის ფორმა'!$R$4:$R$27,'მომწოდებლის ფორმა'!$R11,'მომწოდებლის ფორმა'!B$4:B$27))+IF(OR('მომწოდებლის ფორმა'!$U11="",N('მომწოდებლის ფორმა'!$V11)=0,N('მომწოდებლის ფორმა'!$W11)=0),0,'მომწოდებლის ფორმა'!$V11*'მომწოდებლის ფორმა'!$AB11*30/'მომწოდებლის ფორმა'!$W11/SUMIF('მომწოდებლის ფორმა'!$U$4:$U$27,'მომწოდებლის ფორმა'!$U11,'მომწოდებლის ფორმა'!B$4:B$27))+N('მომწოდებლის ფორმა'!$X11)*'მომწოდებლის ფორმა'!$AB11)</f>
        <v/>
      </c>
      <c r="C11" s="21" t="str">
        <f>IF(OR(N('მომწოდებლის ფორმა'!C11)&lt;=0,'მომწოდებლის ფორმა'!$M11="",'მომწოდებლის ფორმა'!$P11="",'მომწოდებლის ფორმა'!$Z11=""),"",MAX(('მომწოდებლის ფორმა'!C11+$B$33+IF('მომწოდებლის ფორმა'!$Q11="",0,30/'მომწოდებლის ფორმა'!$Q11*$B$34))/'მომწოდებლის ფორმა'!$M11,30/'მომწოდებლის ფორმა'!$P11)*'მომწოდებლის ფორმა'!$Z11/'მომწოდებლის ფორმა'!C11+IF(OR('მომწოდებლის ფორმა'!$R11="",N('მომწოდებლის ფორმა'!$S11)=0,N('მომწოდებლის ფორმა'!$T11)=0),0,'მომწოდებლის ფორმა'!$S11*'მომწოდებლის ფორმა'!$AB11*30/'მომწოდებლის ფორმა'!$T11/SUMIF('მომწოდებლის ფორმა'!$R$4:$R$27,'მომწოდებლის ფორმა'!$R11,'მომწოდებლის ფორმა'!C$4:C$27))+IF(OR('მომწოდებლის ფორმა'!$U11="",N('მომწოდებლის ფორმა'!$V11)=0,N('მომწოდებლის ფორმა'!$W11)=0),0,'მომწოდებლის ფორმა'!$V11*'მომწოდებლის ფორმა'!$AB11*30/'მომწოდებლის ფორმა'!$W11/SUMIF('მომწოდებლის ფორმა'!$U$4:$U$27,'მომწოდებლის ფორმა'!$U11,'მომწოდებლის ფორმა'!C$4:C$27))+N('მომწოდებლის ფორმა'!$X11)*'მომწოდებლის ფორმა'!$AB11)</f>
        <v/>
      </c>
      <c r="D11" s="21" t="str">
        <f>IF(OR(N('მომწოდებლის ფორმა'!D11)&lt;=0,'მომწოდებლის ფორმა'!$M11="",'მომწოდებლის ფორმა'!$P11="",'მომწოდებლის ფორმა'!$Z11=""),"",MAX(('მომწოდებლის ფორმა'!D11+$B$33+IF('მომწოდებლის ფორმა'!$Q11="",0,30/'მომწოდებლის ფორმა'!$Q11*$B$34))/'მომწოდებლის ფორმა'!$M11,30/'მომწოდებლის ფორმა'!$P11)*'მომწოდებლის ფორმა'!$Z11/'მომწოდებლის ფორმა'!D11+IF(OR('მომწოდებლის ფორმა'!$R11="",N('მომწოდებლის ფორმა'!$S11)=0,N('მომწოდებლის ფორმა'!$T11)=0),0,'მომწოდებლის ფორმა'!$S11*'მომწოდებლის ფორმა'!$AB11*30/'მომწოდებლის ფორმა'!$T11/SUMIF('მომწოდებლის ფორმა'!$R$4:$R$27,'მომწოდებლის ფორმა'!$R11,'მომწოდებლის ფორმა'!D$4:D$27))+IF(OR('მომწოდებლის ფორმა'!$U11="",N('მომწოდებლის ფორმა'!$V11)=0,N('მომწოდებლის ფორმა'!$W11)=0),0,'მომწოდებლის ფორმა'!$V11*'მომწოდებლის ფორმა'!$AB11*30/'მომწოდებლის ფორმა'!$W11/SUMIF('მომწოდებლის ფორმა'!$U$4:$U$27,'მომწოდებლის ფორმა'!$U11,'მომწოდებლის ფორმა'!D$4:D$27))+N('მომწოდებლის ფორმა'!$X11)*'მომწოდებლის ფორმა'!$AB11)</f>
        <v/>
      </c>
      <c r="E11" s="21" t="str">
        <f>IF(OR(N('მომწოდებლის ფორმა'!E11)&lt;=0,'მომწოდებლის ფორმა'!$M11="",'მომწოდებლის ფორმა'!$P11="",'მომწოდებლის ფორმა'!$Z11=""),"",MAX(('მომწოდებლის ფორმა'!E11+$B$33+IF('მომწოდებლის ფორმა'!$Q11="",0,30/'მომწოდებლის ფორმა'!$Q11*$B$34))/'მომწოდებლის ფორმა'!$M11,30/'მომწოდებლის ფორმა'!$P11)*'მომწოდებლის ფორმა'!$Z11/'მომწოდებლის ფორმა'!E11+IF(OR('მომწოდებლის ფორმა'!$R11="",N('მომწოდებლის ფორმა'!$S11)=0,N('მომწოდებლის ფორმა'!$T11)=0),0,'მომწოდებლის ფორმა'!$S11*'მომწოდებლის ფორმა'!$AB11*30/'მომწოდებლის ფორმა'!$T11/SUMIF('მომწოდებლის ფორმა'!$R$4:$R$27,'მომწოდებლის ფორმა'!$R11,'მომწოდებლის ფორმა'!E$4:E$27))+IF(OR('მომწოდებლის ფორმა'!$U11="",N('მომწოდებლის ფორმა'!$V11)=0,N('მომწოდებლის ფორმა'!$W11)=0),0,'მომწოდებლის ფორმა'!$V11*'მომწოდებლის ფორმა'!$AB11*30/'მომწოდებლის ფორმა'!$W11/SUMIF('მომწოდებლის ფორმა'!$U$4:$U$27,'მომწოდებლის ფორმა'!$U11,'მომწოდებლის ფორმა'!E$4:E$27))+N('მომწოდებლის ფორმა'!$X11)*'მომწოდებლის ფორმა'!$AB11)</f>
        <v/>
      </c>
      <c r="F11" s="21" t="str">
        <f>IF(OR(N('მომწოდებლის ფორმა'!F11)&lt;=0,'მომწოდებლის ფორმა'!$M11="",'მომწოდებლის ფორმა'!$P11="",'მომწოდებლის ფორმა'!$Z11=""),"",MAX(('მომწოდებლის ფორმა'!F11+$B$33+IF('მომწოდებლის ფორმა'!$Q11="",0,30/'მომწოდებლის ფორმა'!$Q11*$B$34))/'მომწოდებლის ფორმა'!$M11,30/'მომწოდებლის ფორმა'!$P11)*'მომწოდებლის ფორმა'!$Z11/'მომწოდებლის ფორმა'!F11+IF(OR('მომწოდებლის ფორმა'!$R11="",N('მომწოდებლის ფორმა'!$S11)=0,N('მომწოდებლის ფორმა'!$T11)=0),0,'მომწოდებლის ფორმა'!$S11*'მომწოდებლის ფორმა'!$AB11*30/'მომწოდებლის ფორმა'!$T11/SUMIF('მომწოდებლის ფორმა'!$R$4:$R$27,'მომწოდებლის ფორმა'!$R11,'მომწოდებლის ფორმა'!F$4:F$27))+IF(OR('მომწოდებლის ფორმა'!$U11="",N('მომწოდებლის ფორმა'!$V11)=0,N('მომწოდებლის ფორმა'!$W11)=0),0,'მომწოდებლის ფორმა'!$V11*'მომწოდებლის ფორმა'!$AB11*30/'მომწოდებლის ფორმა'!$W11/SUMIF('მომწოდებლის ფორმა'!$U$4:$U$27,'მომწოდებლის ფორმა'!$U11,'მომწოდებლის ფორმა'!F$4:F$27))+N('მომწოდებლის ფორმა'!$X11)*'მომწოდებლის ფორმა'!$AB11)</f>
        <v/>
      </c>
      <c r="G11" s="21" t="str">
        <f>IF(OR(N('მომწოდებლის ფორმა'!G11)&lt;=0,'მომწოდებლის ფორმა'!$M11="",'მომწოდებლის ფორმა'!$P11="",'მომწოდებლის ფორმა'!$Z11=""),"",MAX(('მომწოდებლის ფორმა'!G11+$B$33+IF('მომწოდებლის ფორმა'!$Q11="",0,30/'მომწოდებლის ფორმა'!$Q11*$B$34))/'მომწოდებლის ფორმა'!$M11,30/'მომწოდებლის ფორმა'!$P11)*'მომწოდებლის ფორმა'!$Z11/'მომწოდებლის ფორმა'!G11+IF(OR('მომწოდებლის ფორმა'!$R11="",N('მომწოდებლის ფორმა'!$S11)=0,N('მომწოდებლის ფორმა'!$T11)=0),0,'მომწოდებლის ფორმა'!$S11*'მომწოდებლის ფორმა'!$AB11*30/'მომწოდებლის ფორმა'!$T11/SUMIF('მომწოდებლის ფორმა'!$R$4:$R$27,'მომწოდებლის ფორმა'!$R11,'მომწოდებლის ფორმა'!G$4:G$27))+IF(OR('მომწოდებლის ფორმა'!$U11="",N('მომწოდებლის ფორმა'!$V11)=0,N('მომწოდებლის ფორმა'!$W11)=0),0,'მომწოდებლის ფორმა'!$V11*'მომწოდებლის ფორმა'!$AB11*30/'მომწოდებლის ფორმა'!$W11/SUMIF('მომწოდებლის ფორმა'!$U$4:$U$27,'მომწოდებლის ფორმა'!$U11,'მომწოდებლის ფორმა'!G$4:G$27))+N('მომწოდებლის ფორმა'!$X11)*'მომწოდებლის ფორმა'!$AB11)</f>
        <v/>
      </c>
      <c r="H11" s="21" t="str">
        <f>IF(OR(N('მომწოდებლის ფორმა'!H11)&lt;=0,'მომწოდებლის ფორმა'!$M11="",'მომწოდებლის ფორმა'!$P11="",'მომწოდებლის ფორმა'!$Z11=""),"",MAX(('მომწოდებლის ფორმა'!H11+$B$33+IF('მომწოდებლის ფორმა'!$Q11="",0,30/'მომწოდებლის ფორმა'!$Q11*$B$34))/'მომწოდებლის ფორმა'!$M11,30/'მომწოდებლის ფორმა'!$P11)*'მომწოდებლის ფორმა'!$Z11/'მომწოდებლის ფორმა'!H11+IF(OR('მომწოდებლის ფორმა'!$R11="",N('მომწოდებლის ფორმა'!$S11)=0,N('მომწოდებლის ფორმა'!$T11)=0),0,'მომწოდებლის ფორმა'!$S11*'მომწოდებლის ფორმა'!$AB11*30/'მომწოდებლის ფორმა'!$T11/SUMIF('მომწოდებლის ფორმა'!$R$4:$R$27,'მომწოდებლის ფორმა'!$R11,'მომწოდებლის ფორმა'!H$4:H$27))+IF(OR('მომწოდებლის ფორმა'!$U11="",N('მომწოდებლის ფორმა'!$V11)=0,N('მომწოდებლის ფორმა'!$W11)=0),0,'მომწოდებლის ფორმა'!$V11*'მომწოდებლის ფორმა'!$AB11*30/'მომწოდებლის ფორმა'!$W11/SUMIF('მომწოდებლის ფორმა'!$U$4:$U$27,'მომწოდებლის ფორმა'!$U11,'მომწოდებლის ფორმა'!H$4:H$27))+N('მომწოდებლის ფორმა'!$X11)*'მომწოდებლის ფორმა'!$AB11)</f>
        <v/>
      </c>
      <c r="I11" s="21" t="str">
        <f>IF(OR(N('მომწოდებლის ფორმა'!I11)&lt;=0,'მომწოდებლის ფორმა'!$M11="",'მომწოდებლის ფორმა'!$P11="",'მომწოდებლის ფორმა'!$Z11=""),"",MAX(('მომწოდებლის ფორმა'!I11+$B$33+IF('მომწოდებლის ფორმა'!$Q11="",0,30/'მომწოდებლის ფორმა'!$Q11*$B$34))/'მომწოდებლის ფორმა'!$M11,30/'მომწოდებლის ფორმა'!$P11)*'მომწოდებლის ფორმა'!$Z11/'მომწოდებლის ფორმა'!I11+IF(OR('მომწოდებლის ფორმა'!$R11="",N('მომწოდებლის ფორმა'!$S11)=0,N('მომწოდებლის ფორმა'!$T11)=0),0,'მომწოდებლის ფორმა'!$S11*'მომწოდებლის ფორმა'!$AB11*30/'მომწოდებლის ფორმა'!$T11/SUMIF('მომწოდებლის ფორმა'!$R$4:$R$27,'მომწოდებლის ფორმა'!$R11,'მომწოდებლის ფორმა'!I$4:I$27))+IF(OR('მომწოდებლის ფორმა'!$U11="",N('მომწოდებლის ფორმა'!$V11)=0,N('მომწოდებლის ფორმა'!$W11)=0),0,'მომწოდებლის ფორმა'!$V11*'მომწოდებლის ფორმა'!$AB11*30/'მომწოდებლის ფორმა'!$W11/SUMIF('მომწოდებლის ფორმა'!$U$4:$U$27,'მომწოდებლის ფორმა'!$U11,'მომწოდებლის ფორმა'!I$4:I$27))+N('მომწოდებლის ფორმა'!$X11)*'მომწოდებლის ფორმა'!$AB11)</f>
        <v/>
      </c>
    </row>
    <row r="12" spans="1:9" x14ac:dyDescent="0.3">
      <c r="A12" s="31" t="str">
        <f>'მომწოდებლის ფორმა'!A12</f>
        <v>ალბუმინი ALB G1</v>
      </c>
      <c r="B12" s="21" t="str">
        <f>IF(OR(N('მომწოდებლის ფორმა'!B12)&lt;=0,'მომწოდებლის ფორმა'!$M12="",'მომწოდებლის ფორმა'!$P12="",'მომწოდებლის ფორმა'!$Z12=""),"",MAX(('მომწოდებლის ფორმა'!B12+$B$33+IF('მომწოდებლის ფორმა'!$Q12="",0,30/'მომწოდებლის ფორმა'!$Q12*$B$34))/'მომწოდებლის ფორმა'!$M12,30/'მომწოდებლის ფორმა'!$P12)*'მომწოდებლის ფორმა'!$Z12/'მომწოდებლის ფორმა'!B12+IF(OR('მომწოდებლის ფორმა'!$R12="",N('მომწოდებლის ფორმა'!$S12)=0,N('მომწოდებლის ფორმა'!$T12)=0),0,'მომწოდებლის ფორმა'!$S12*'მომწოდებლის ფორმა'!$AB12*30/'მომწოდებლის ფორმა'!$T12/SUMIF('მომწოდებლის ფორმა'!$R$4:$R$27,'მომწოდებლის ფორმა'!$R12,'მომწოდებლის ფორმა'!B$4:B$27))+IF(OR('მომწოდებლის ფორმა'!$U12="",N('მომწოდებლის ფორმა'!$V12)=0,N('მომწოდებლის ფორმა'!$W12)=0),0,'მომწოდებლის ფორმა'!$V12*'მომწოდებლის ფორმა'!$AB12*30/'მომწოდებლის ფორმა'!$W12/SUMIF('მომწოდებლის ფორმა'!$U$4:$U$27,'მომწოდებლის ფორმა'!$U12,'მომწოდებლის ფორმა'!B$4:B$27))+N('მომწოდებლის ფორმა'!$X12)*'მომწოდებლის ფორმა'!$AB12)</f>
        <v/>
      </c>
      <c r="C12" s="21" t="str">
        <f>IF(OR(N('მომწოდებლის ფორმა'!C12)&lt;=0,'მომწოდებლის ფორმა'!$M12="",'მომწოდებლის ფორმა'!$P12="",'მომწოდებლის ფორმა'!$Z12=""),"",MAX(('მომწოდებლის ფორმა'!C12+$B$33+IF('მომწოდებლის ფორმა'!$Q12="",0,30/'მომწოდებლის ფორმა'!$Q12*$B$34))/'მომწოდებლის ფორმა'!$M12,30/'მომწოდებლის ფორმა'!$P12)*'მომწოდებლის ფორმა'!$Z12/'მომწოდებლის ფორმა'!C12+IF(OR('მომწოდებლის ფორმა'!$R12="",N('მომწოდებლის ფორმა'!$S12)=0,N('მომწოდებლის ფორმა'!$T12)=0),0,'მომწოდებლის ფორმა'!$S12*'მომწოდებლის ფორმა'!$AB12*30/'მომწოდებლის ფორმა'!$T12/SUMIF('მომწოდებლის ფორმა'!$R$4:$R$27,'მომწოდებლის ფორმა'!$R12,'მომწოდებლის ფორმა'!C$4:C$27))+IF(OR('მომწოდებლის ფორმა'!$U12="",N('მომწოდებლის ფორმა'!$V12)=0,N('მომწოდებლის ფორმა'!$W12)=0),0,'მომწოდებლის ფორმა'!$V12*'მომწოდებლის ფორმა'!$AB12*30/'მომწოდებლის ფორმა'!$W12/SUMIF('მომწოდებლის ფორმა'!$U$4:$U$27,'მომწოდებლის ფორმა'!$U12,'მომწოდებლის ფორმა'!C$4:C$27))+N('მომწოდებლის ფორმა'!$X12)*'მომწოდებლის ფორმა'!$AB12)</f>
        <v/>
      </c>
      <c r="D12" s="21" t="str">
        <f>IF(OR(N('მომწოდებლის ფორმა'!D12)&lt;=0,'მომწოდებლის ფორმა'!$M12="",'მომწოდებლის ფორმა'!$P12="",'მომწოდებლის ფორმა'!$Z12=""),"",MAX(('მომწოდებლის ფორმა'!D12+$B$33+IF('მომწოდებლის ფორმა'!$Q12="",0,30/'მომწოდებლის ფორმა'!$Q12*$B$34))/'მომწოდებლის ფორმა'!$M12,30/'მომწოდებლის ფორმა'!$P12)*'მომწოდებლის ფორმა'!$Z12/'მომწოდებლის ფორმა'!D12+IF(OR('მომწოდებლის ფორმა'!$R12="",N('მომწოდებლის ფორმა'!$S12)=0,N('მომწოდებლის ფორმა'!$T12)=0),0,'მომწოდებლის ფორმა'!$S12*'მომწოდებლის ფორმა'!$AB12*30/'მომწოდებლის ფორმა'!$T12/SUMIF('მომწოდებლის ფორმა'!$R$4:$R$27,'მომწოდებლის ფორმა'!$R12,'მომწოდებლის ფორმა'!D$4:D$27))+IF(OR('მომწოდებლის ფორმა'!$U12="",N('მომწოდებლის ფორმა'!$V12)=0,N('მომწოდებლის ფორმა'!$W12)=0),0,'მომწოდებლის ფორმა'!$V12*'მომწოდებლის ფორმა'!$AB12*30/'მომწოდებლის ფორმა'!$W12/SUMIF('მომწოდებლის ფორმა'!$U$4:$U$27,'მომწოდებლის ფორმა'!$U12,'მომწოდებლის ფორმა'!D$4:D$27))+N('მომწოდებლის ფორმა'!$X12)*'მომწოდებლის ფორმა'!$AB12)</f>
        <v/>
      </c>
      <c r="E12" s="21" t="str">
        <f>IF(OR(N('მომწოდებლის ფორმა'!E12)&lt;=0,'მომწოდებლის ფორმა'!$M12="",'მომწოდებლის ფორმა'!$P12="",'მომწოდებლის ფორმა'!$Z12=""),"",MAX(('მომწოდებლის ფორმა'!E12+$B$33+IF('მომწოდებლის ფორმა'!$Q12="",0,30/'მომწოდებლის ფორმა'!$Q12*$B$34))/'მომწოდებლის ფორმა'!$M12,30/'მომწოდებლის ფორმა'!$P12)*'მომწოდებლის ფორმა'!$Z12/'მომწოდებლის ფორმა'!E12+IF(OR('მომწოდებლის ფორმა'!$R12="",N('მომწოდებლის ფორმა'!$S12)=0,N('მომწოდებლის ფორმა'!$T12)=0),0,'მომწოდებლის ფორმა'!$S12*'მომწოდებლის ფორმა'!$AB12*30/'მომწოდებლის ფორმა'!$T12/SUMIF('მომწოდებლის ფორმა'!$R$4:$R$27,'მომწოდებლის ფორმა'!$R12,'მომწოდებლის ფორმა'!E$4:E$27))+IF(OR('მომწოდებლის ფორმა'!$U12="",N('მომწოდებლის ფორმა'!$V12)=0,N('მომწოდებლის ფორმა'!$W12)=0),0,'მომწოდებლის ფორმა'!$V12*'მომწოდებლის ფორმა'!$AB12*30/'მომწოდებლის ფორმა'!$W12/SUMIF('მომწოდებლის ფორმა'!$U$4:$U$27,'მომწოდებლის ფორმა'!$U12,'მომწოდებლის ფორმა'!E$4:E$27))+N('მომწოდებლის ფორმა'!$X12)*'მომწოდებლის ფორმა'!$AB12)</f>
        <v/>
      </c>
      <c r="F12" s="21" t="str">
        <f>IF(OR(N('მომწოდებლის ფორმა'!F12)&lt;=0,'მომწოდებლის ფორმა'!$M12="",'მომწოდებლის ფორმა'!$P12="",'მომწოდებლის ფორმა'!$Z12=""),"",MAX(('მომწოდებლის ფორმა'!F12+$B$33+IF('მომწოდებლის ფორმა'!$Q12="",0,30/'მომწოდებლის ფორმა'!$Q12*$B$34))/'მომწოდებლის ფორმა'!$M12,30/'მომწოდებლის ფორმა'!$P12)*'მომწოდებლის ფორმა'!$Z12/'მომწოდებლის ფორმა'!F12+IF(OR('მომწოდებლის ფორმა'!$R12="",N('მომწოდებლის ფორმა'!$S12)=0,N('მომწოდებლის ფორმა'!$T12)=0),0,'მომწოდებლის ფორმა'!$S12*'მომწოდებლის ფორმა'!$AB12*30/'მომწოდებლის ფორმა'!$T12/SUMIF('მომწოდებლის ფორმა'!$R$4:$R$27,'მომწოდებლის ფორმა'!$R12,'მომწოდებლის ფორმა'!F$4:F$27))+IF(OR('მომწოდებლის ფორმა'!$U12="",N('მომწოდებლის ფორმა'!$V12)=0,N('მომწოდებლის ფორმა'!$W12)=0),0,'მომწოდებლის ფორმა'!$V12*'მომწოდებლის ფორმა'!$AB12*30/'მომწოდებლის ფორმა'!$W12/SUMIF('მომწოდებლის ფორმა'!$U$4:$U$27,'მომწოდებლის ფორმა'!$U12,'მომწოდებლის ფორმა'!F$4:F$27))+N('მომწოდებლის ფორმა'!$X12)*'მომწოდებლის ფორმა'!$AB12)</f>
        <v/>
      </c>
      <c r="G12" s="21" t="str">
        <f>IF(OR(N('მომწოდებლის ფორმა'!G12)&lt;=0,'მომწოდებლის ფორმა'!$M12="",'მომწოდებლის ფორმა'!$P12="",'მომწოდებლის ფორმა'!$Z12=""),"",MAX(('მომწოდებლის ფორმა'!G12+$B$33+IF('მომწოდებლის ფორმა'!$Q12="",0,30/'მომწოდებლის ფორმა'!$Q12*$B$34))/'მომწოდებლის ფორმა'!$M12,30/'მომწოდებლის ფორმა'!$P12)*'მომწოდებლის ფორმა'!$Z12/'მომწოდებლის ფორმა'!G12+IF(OR('მომწოდებლის ფორმა'!$R12="",N('მომწოდებლის ფორმა'!$S12)=0,N('მომწოდებლის ფორმა'!$T12)=0),0,'მომწოდებლის ფორმა'!$S12*'მომწოდებლის ფორმა'!$AB12*30/'მომწოდებლის ფორმა'!$T12/SUMIF('მომწოდებლის ფორმა'!$R$4:$R$27,'მომწოდებლის ფორმა'!$R12,'მომწოდებლის ფორმა'!G$4:G$27))+IF(OR('მომწოდებლის ფორმა'!$U12="",N('მომწოდებლის ფორმა'!$V12)=0,N('მომწოდებლის ფორმა'!$W12)=0),0,'მომწოდებლის ფორმა'!$V12*'მომწოდებლის ფორმა'!$AB12*30/'მომწოდებლის ფორმა'!$W12/SUMIF('მომწოდებლის ფორმა'!$U$4:$U$27,'მომწოდებლის ფორმა'!$U12,'მომწოდებლის ფორმა'!G$4:G$27))+N('მომწოდებლის ფორმა'!$X12)*'მომწოდებლის ფორმა'!$AB12)</f>
        <v/>
      </c>
      <c r="H12" s="21" t="str">
        <f>IF(OR(N('მომწოდებლის ფორმა'!H12)&lt;=0,'მომწოდებლის ფორმა'!$M12="",'მომწოდებლის ფორმა'!$P12="",'მომწოდებლის ფორმა'!$Z12=""),"",MAX(('მომწოდებლის ფორმა'!H12+$B$33+IF('მომწოდებლის ფორმა'!$Q12="",0,30/'მომწოდებლის ფორმა'!$Q12*$B$34))/'მომწოდებლის ფორმა'!$M12,30/'მომწოდებლის ფორმა'!$P12)*'მომწოდებლის ფორმა'!$Z12/'მომწოდებლის ფორმა'!H12+IF(OR('მომწოდებლის ფორმა'!$R12="",N('მომწოდებლის ფორმა'!$S12)=0,N('მომწოდებლის ფორმა'!$T12)=0),0,'მომწოდებლის ფორმა'!$S12*'მომწოდებლის ფორმა'!$AB12*30/'მომწოდებლის ფორმა'!$T12/SUMIF('მომწოდებლის ფორმა'!$R$4:$R$27,'მომწოდებლის ფორმა'!$R12,'მომწოდებლის ფორმა'!H$4:H$27))+IF(OR('მომწოდებლის ფორმა'!$U12="",N('მომწოდებლის ფორმა'!$V12)=0,N('მომწოდებლის ფორმა'!$W12)=0),0,'მომწოდებლის ფორმა'!$V12*'მომწოდებლის ფორმა'!$AB12*30/'მომწოდებლის ფორმა'!$W12/SUMIF('მომწოდებლის ფორმა'!$U$4:$U$27,'მომწოდებლის ფორმა'!$U12,'მომწოდებლის ფორმა'!H$4:H$27))+N('მომწოდებლის ფორმა'!$X12)*'მომწოდებლის ფორმა'!$AB12)</f>
        <v/>
      </c>
      <c r="I12" s="21" t="str">
        <f>IF(OR(N('მომწოდებლის ფორმა'!I12)&lt;=0,'მომწოდებლის ფორმა'!$M12="",'მომწოდებლის ფორმა'!$P12="",'მომწოდებლის ფორმა'!$Z12=""),"",MAX(('მომწოდებლის ფორმა'!I12+$B$33+IF('მომწოდებლის ფორმა'!$Q12="",0,30/'მომწოდებლის ფორმა'!$Q12*$B$34))/'მომწოდებლის ფორმა'!$M12,30/'მომწოდებლის ფორმა'!$P12)*'მომწოდებლის ფორმა'!$Z12/'მომწოდებლის ფორმა'!I12+IF(OR('მომწოდებლის ფორმა'!$R12="",N('მომწოდებლის ფორმა'!$S12)=0,N('მომწოდებლის ფორმა'!$T12)=0),0,'მომწოდებლის ფორმა'!$S12*'მომწოდებლის ფორმა'!$AB12*30/'მომწოდებლის ფორმა'!$T12/SUMIF('მომწოდებლის ფორმა'!$R$4:$R$27,'მომწოდებლის ფორმა'!$R12,'მომწოდებლის ფორმა'!I$4:I$27))+IF(OR('მომწოდებლის ფორმა'!$U12="",N('მომწოდებლის ფორმა'!$V12)=0,N('მომწოდებლის ფორმა'!$W12)=0),0,'მომწოდებლის ფორმა'!$V12*'მომწოდებლის ფორმა'!$AB12*30/'მომწოდებლის ფორმა'!$W12/SUMIF('მომწოდებლის ფორმა'!$U$4:$U$27,'მომწოდებლის ფორმა'!$U12,'მომწოდებლის ფორმა'!I$4:I$27))+N('მომწოდებლის ფორმა'!$X12)*'მომწოდებლის ფორმა'!$AB12)</f>
        <v/>
      </c>
    </row>
    <row r="13" spans="1:9" x14ac:dyDescent="0.3">
      <c r="A13" s="31" t="str">
        <f>'მომწოდებლის ფორმა'!A13</f>
        <v>კრეატინინი Cr G1</v>
      </c>
      <c r="B13" s="21" t="str">
        <f>IF(OR(N('მომწოდებლის ფორმა'!B13)&lt;=0,'მომწოდებლის ფორმა'!$M13="",'მომწოდებლის ფორმა'!$P13="",'მომწოდებლის ფორმა'!$Z13=""),"",MAX(('მომწოდებლის ფორმა'!B13+$B$33+IF('მომწოდებლის ფორმა'!$Q13="",0,30/'მომწოდებლის ფორმა'!$Q13*$B$34))/'მომწოდებლის ფორმა'!$M13,30/'მომწოდებლის ფორმა'!$P13)*'მომწოდებლის ფორმა'!$Z13/'მომწოდებლის ფორმა'!B13+IF(OR('მომწოდებლის ფორმა'!$R13="",N('მომწოდებლის ფორმა'!$S13)=0,N('მომწოდებლის ფორმა'!$T13)=0),0,'მომწოდებლის ფორმა'!$S13*'მომწოდებლის ფორმა'!$AB13*30/'მომწოდებლის ფორმა'!$T13/SUMIF('მომწოდებლის ფორმა'!$R$4:$R$27,'მომწოდებლის ფორმა'!$R13,'მომწოდებლის ფორმა'!B$4:B$27))+IF(OR('მომწოდებლის ფორმა'!$U13="",N('მომწოდებლის ფორმა'!$V13)=0,N('მომწოდებლის ფორმა'!$W13)=0),0,'მომწოდებლის ფორმა'!$V13*'მომწოდებლის ფორმა'!$AB13*30/'მომწოდებლის ფორმა'!$W13/SUMIF('მომწოდებლის ფორმა'!$U$4:$U$27,'მომწოდებლის ფორმა'!$U13,'მომწოდებლის ფორმა'!B$4:B$27))+N('მომწოდებლის ფორმა'!$X13)*'მომწოდებლის ფორმა'!$AB13)</f>
        <v/>
      </c>
      <c r="C13" s="21" t="str">
        <f>IF(OR(N('მომწოდებლის ფორმა'!C13)&lt;=0,'მომწოდებლის ფორმა'!$M13="",'მომწოდებლის ფორმა'!$P13="",'მომწოდებლის ფორმა'!$Z13=""),"",MAX(('მომწოდებლის ფორმა'!C13+$B$33+IF('მომწოდებლის ფორმა'!$Q13="",0,30/'მომწოდებლის ფორმა'!$Q13*$B$34))/'მომწოდებლის ფორმა'!$M13,30/'მომწოდებლის ფორმა'!$P13)*'მომწოდებლის ფორმა'!$Z13/'მომწოდებლის ფორმა'!C13+IF(OR('მომწოდებლის ფორმა'!$R13="",N('მომწოდებლის ფორმა'!$S13)=0,N('მომწოდებლის ფორმა'!$T13)=0),0,'მომწოდებლის ფორმა'!$S13*'მომწოდებლის ფორმა'!$AB13*30/'მომწოდებლის ფორმა'!$T13/SUMIF('მომწოდებლის ფორმა'!$R$4:$R$27,'მომწოდებლის ფორმა'!$R13,'მომწოდებლის ფორმა'!C$4:C$27))+IF(OR('მომწოდებლის ფორმა'!$U13="",N('მომწოდებლის ფორმა'!$V13)=0,N('მომწოდებლის ფორმა'!$W13)=0),0,'მომწოდებლის ფორმა'!$V13*'მომწოდებლის ფორმა'!$AB13*30/'მომწოდებლის ფორმა'!$W13/SUMIF('მომწოდებლის ფორმა'!$U$4:$U$27,'მომწოდებლის ფორმა'!$U13,'მომწოდებლის ფორმა'!C$4:C$27))+N('მომწოდებლის ფორმა'!$X13)*'მომწოდებლის ფორმა'!$AB13)</f>
        <v/>
      </c>
      <c r="D13" s="21" t="str">
        <f>IF(OR(N('მომწოდებლის ფორმა'!D13)&lt;=0,'მომწოდებლის ფორმა'!$M13="",'მომწოდებლის ფორმა'!$P13="",'მომწოდებლის ფორმა'!$Z13=""),"",MAX(('მომწოდებლის ფორმა'!D13+$B$33+IF('მომწოდებლის ფორმა'!$Q13="",0,30/'მომწოდებლის ფორმა'!$Q13*$B$34))/'მომწოდებლის ფორმა'!$M13,30/'მომწოდებლის ფორმა'!$P13)*'მომწოდებლის ფორმა'!$Z13/'მომწოდებლის ფორმა'!D13+IF(OR('მომწოდებლის ფორმა'!$R13="",N('მომწოდებლის ფორმა'!$S13)=0,N('მომწოდებლის ფორმა'!$T13)=0),0,'მომწოდებლის ფორმა'!$S13*'მომწოდებლის ფორმა'!$AB13*30/'მომწოდებლის ფორმა'!$T13/SUMIF('მომწოდებლის ფორმა'!$R$4:$R$27,'მომწოდებლის ფორმა'!$R13,'მომწოდებლის ფორმა'!D$4:D$27))+IF(OR('მომწოდებლის ფორმა'!$U13="",N('მომწოდებლის ფორმა'!$V13)=0,N('მომწოდებლის ფორმა'!$W13)=0),0,'მომწოდებლის ფორმა'!$V13*'მომწოდებლის ფორმა'!$AB13*30/'მომწოდებლის ფორმა'!$W13/SUMIF('მომწოდებლის ფორმა'!$U$4:$U$27,'მომწოდებლის ფორმა'!$U13,'მომწოდებლის ფორმა'!D$4:D$27))+N('მომწოდებლის ფორმა'!$X13)*'მომწოდებლის ფორმა'!$AB13)</f>
        <v/>
      </c>
      <c r="E13" s="21" t="str">
        <f>IF(OR(N('მომწოდებლის ფორმა'!E13)&lt;=0,'მომწოდებლის ფორმა'!$M13="",'მომწოდებლის ფორმა'!$P13="",'მომწოდებლის ფორმა'!$Z13=""),"",MAX(('მომწოდებლის ფორმა'!E13+$B$33+IF('მომწოდებლის ფორმა'!$Q13="",0,30/'მომწოდებლის ფორმა'!$Q13*$B$34))/'მომწოდებლის ფორმა'!$M13,30/'მომწოდებლის ფორმა'!$P13)*'მომწოდებლის ფორმა'!$Z13/'მომწოდებლის ფორმა'!E13+IF(OR('მომწოდებლის ფორმა'!$R13="",N('მომწოდებლის ფორმა'!$S13)=0,N('მომწოდებლის ფორმა'!$T13)=0),0,'მომწოდებლის ფორმა'!$S13*'მომწოდებლის ფორმა'!$AB13*30/'მომწოდებლის ფორმა'!$T13/SUMIF('მომწოდებლის ფორმა'!$R$4:$R$27,'მომწოდებლის ფორმა'!$R13,'მომწოდებლის ფორმა'!E$4:E$27))+IF(OR('მომწოდებლის ფორმა'!$U13="",N('მომწოდებლის ფორმა'!$V13)=0,N('მომწოდებლის ფორმა'!$W13)=0),0,'მომწოდებლის ფორმა'!$V13*'მომწოდებლის ფორმა'!$AB13*30/'მომწოდებლის ფორმა'!$W13/SUMIF('მომწოდებლის ფორმა'!$U$4:$U$27,'მომწოდებლის ფორმა'!$U13,'მომწოდებლის ფორმა'!E$4:E$27))+N('მომწოდებლის ფორმა'!$X13)*'მომწოდებლის ფორმა'!$AB13)</f>
        <v/>
      </c>
      <c r="F13" s="21" t="str">
        <f>IF(OR(N('მომწოდებლის ფორმა'!F13)&lt;=0,'მომწოდებლის ფორმა'!$M13="",'მომწოდებლის ფორმა'!$P13="",'მომწოდებლის ფორმა'!$Z13=""),"",MAX(('მომწოდებლის ფორმა'!F13+$B$33+IF('მომწოდებლის ფორმა'!$Q13="",0,30/'მომწოდებლის ფორმა'!$Q13*$B$34))/'მომწოდებლის ფორმა'!$M13,30/'მომწოდებლის ფორმა'!$P13)*'მომწოდებლის ფორმა'!$Z13/'მომწოდებლის ფორმა'!F13+IF(OR('მომწოდებლის ფორმა'!$R13="",N('მომწოდებლის ფორმა'!$S13)=0,N('მომწოდებლის ფორმა'!$T13)=0),0,'მომწოდებლის ფორმა'!$S13*'მომწოდებლის ფორმა'!$AB13*30/'მომწოდებლის ფორმა'!$T13/SUMIF('მომწოდებლის ფორმა'!$R$4:$R$27,'მომწოდებლის ფორმა'!$R13,'მომწოდებლის ფორმა'!F$4:F$27))+IF(OR('მომწოდებლის ფორმა'!$U13="",N('მომწოდებლის ფორმა'!$V13)=0,N('მომწოდებლის ფორმა'!$W13)=0),0,'მომწოდებლის ფორმა'!$V13*'მომწოდებლის ფორმა'!$AB13*30/'მომწოდებლის ფორმა'!$W13/SUMIF('მომწოდებლის ფორმა'!$U$4:$U$27,'მომწოდებლის ფორმა'!$U13,'მომწოდებლის ფორმა'!F$4:F$27))+N('მომწოდებლის ფორმა'!$X13)*'მომწოდებლის ფორმა'!$AB13)</f>
        <v/>
      </c>
      <c r="G13" s="21" t="str">
        <f>IF(OR(N('მომწოდებლის ფორმა'!G13)&lt;=0,'მომწოდებლის ფორმა'!$M13="",'მომწოდებლის ფორმა'!$P13="",'მომწოდებლის ფორმა'!$Z13=""),"",MAX(('მომწოდებლის ფორმა'!G13+$B$33+IF('მომწოდებლის ფორმა'!$Q13="",0,30/'მომწოდებლის ფორმა'!$Q13*$B$34))/'მომწოდებლის ფორმა'!$M13,30/'მომწოდებლის ფორმა'!$P13)*'მომწოდებლის ფორმა'!$Z13/'მომწოდებლის ფორმა'!G13+IF(OR('მომწოდებლის ფორმა'!$R13="",N('მომწოდებლის ფორმა'!$S13)=0,N('მომწოდებლის ფორმა'!$T13)=0),0,'მომწოდებლის ფორმა'!$S13*'მომწოდებლის ფორმა'!$AB13*30/'მომწოდებლის ფორმა'!$T13/SUMIF('მომწოდებლის ფორმა'!$R$4:$R$27,'მომწოდებლის ფორმა'!$R13,'მომწოდებლის ფორმა'!G$4:G$27))+IF(OR('მომწოდებლის ფორმა'!$U13="",N('მომწოდებლის ფორმა'!$V13)=0,N('მომწოდებლის ფორმა'!$W13)=0),0,'მომწოდებლის ფორმა'!$V13*'მომწოდებლის ფორმა'!$AB13*30/'მომწოდებლის ფორმა'!$W13/SUMIF('მომწოდებლის ფორმა'!$U$4:$U$27,'მომწოდებლის ფორმა'!$U13,'მომწოდებლის ფორმა'!G$4:G$27))+N('მომწოდებლის ფორმა'!$X13)*'მომწოდებლის ფორმა'!$AB13)</f>
        <v/>
      </c>
      <c r="H13" s="21" t="str">
        <f>IF(OR(N('მომწოდებლის ფორმა'!H13)&lt;=0,'მომწოდებლის ფორმა'!$M13="",'მომწოდებლის ფორმა'!$P13="",'მომწოდებლის ფორმა'!$Z13=""),"",MAX(('მომწოდებლის ფორმა'!H13+$B$33+IF('მომწოდებლის ფორმა'!$Q13="",0,30/'მომწოდებლის ფორმა'!$Q13*$B$34))/'მომწოდებლის ფორმა'!$M13,30/'მომწოდებლის ფორმა'!$P13)*'მომწოდებლის ფორმა'!$Z13/'მომწოდებლის ფორმა'!H13+IF(OR('მომწოდებლის ფორმა'!$R13="",N('მომწოდებლის ფორმა'!$S13)=0,N('მომწოდებლის ფორმა'!$T13)=0),0,'მომწოდებლის ფორმა'!$S13*'მომწოდებლის ფორმა'!$AB13*30/'მომწოდებლის ფორმა'!$T13/SUMIF('მომწოდებლის ფორმა'!$R$4:$R$27,'მომწოდებლის ფორმა'!$R13,'მომწოდებლის ფორმა'!H$4:H$27))+IF(OR('მომწოდებლის ფორმა'!$U13="",N('მომწოდებლის ფორმა'!$V13)=0,N('მომწოდებლის ფორმა'!$W13)=0),0,'მომწოდებლის ფორმა'!$V13*'მომწოდებლის ფორმა'!$AB13*30/'მომწოდებლის ფორმა'!$W13/SUMIF('მომწოდებლის ფორმა'!$U$4:$U$27,'მომწოდებლის ფორმა'!$U13,'მომწოდებლის ფორმა'!H$4:H$27))+N('მომწოდებლის ფორმა'!$X13)*'მომწოდებლის ფორმა'!$AB13)</f>
        <v/>
      </c>
      <c r="I13" s="21" t="str">
        <f>IF(OR(N('მომწოდებლის ფორმა'!I13)&lt;=0,'მომწოდებლის ფორმა'!$M13="",'მომწოდებლის ფორმა'!$P13="",'მომწოდებლის ფორმა'!$Z13=""),"",MAX(('მომწოდებლის ფორმა'!I13+$B$33+IF('მომწოდებლის ფორმა'!$Q13="",0,30/'მომწოდებლის ფორმა'!$Q13*$B$34))/'მომწოდებლის ფორმა'!$M13,30/'მომწოდებლის ფორმა'!$P13)*'მომწოდებლის ფორმა'!$Z13/'მომწოდებლის ფორმა'!I13+IF(OR('მომწოდებლის ფორმა'!$R13="",N('მომწოდებლის ფორმა'!$S13)=0,N('მომწოდებლის ფორმა'!$T13)=0),0,'მომწოდებლის ფორმა'!$S13*'მომწოდებლის ფორმა'!$AB13*30/'მომწოდებლის ფორმა'!$T13/SUMIF('მომწოდებლის ფორმა'!$R$4:$R$27,'მომწოდებლის ფორმა'!$R13,'მომწოდებლის ფორმა'!I$4:I$27))+IF(OR('მომწოდებლის ფორმა'!$U13="",N('მომწოდებლის ფორმა'!$V13)=0,N('მომწოდებლის ფორმა'!$W13)=0),0,'მომწოდებლის ფორმა'!$V13*'მომწოდებლის ფორმა'!$AB13*30/'მომწოდებლის ფორმა'!$W13/SUMIF('მომწოდებლის ფორმა'!$U$4:$U$27,'მომწოდებლის ფორმა'!$U13,'მომწოდებლის ფორმა'!I$4:I$27))+N('მომწოდებლის ფორმა'!$X13)*'მომწოდებლის ფორმა'!$AB13)</f>
        <v/>
      </c>
    </row>
    <row r="14" spans="1:9" x14ac:dyDescent="0.3">
      <c r="A14" s="31" t="str">
        <f>'მომწოდებლის ფორმა'!A14</f>
        <v>შარდოვანა Urea G1</v>
      </c>
      <c r="B14" s="21" t="str">
        <f>IF(OR(N('მომწოდებლის ფორმა'!B14)&lt;=0,'მომწოდებლის ფორმა'!$M14="",'მომწოდებლის ფორმა'!$P14="",'მომწოდებლის ფორმა'!$Z14=""),"",MAX(('მომწოდებლის ფორმა'!B14+$B$33+IF('მომწოდებლის ფორმა'!$Q14="",0,30/'მომწოდებლის ფორმა'!$Q14*$B$34))/'მომწოდებლის ფორმა'!$M14,30/'მომწოდებლის ფორმა'!$P14)*'მომწოდებლის ფორმა'!$Z14/'მომწოდებლის ფორმა'!B14+IF(OR('მომწოდებლის ფორმა'!$R14="",N('მომწოდებლის ფორმა'!$S14)=0,N('მომწოდებლის ფორმა'!$T14)=0),0,'მომწოდებლის ფორმა'!$S14*'მომწოდებლის ფორმა'!$AB14*30/'მომწოდებლის ფორმა'!$T14/SUMIF('მომწოდებლის ფორმა'!$R$4:$R$27,'მომწოდებლის ფორმა'!$R14,'მომწოდებლის ფორმა'!B$4:B$27))+IF(OR('მომწოდებლის ფორმა'!$U14="",N('მომწოდებლის ფორმა'!$V14)=0,N('მომწოდებლის ფორმა'!$W14)=0),0,'მომწოდებლის ფორმა'!$V14*'მომწოდებლის ფორმა'!$AB14*30/'მომწოდებლის ფორმა'!$W14/SUMIF('მომწოდებლის ფორმა'!$U$4:$U$27,'მომწოდებლის ფორმა'!$U14,'მომწოდებლის ფორმა'!B$4:B$27))+N('მომწოდებლის ფორმა'!$X14)*'მომწოდებლის ფორმა'!$AB14)</f>
        <v/>
      </c>
      <c r="C14" s="21" t="str">
        <f>IF(OR(N('მომწოდებლის ფორმა'!C14)&lt;=0,'მომწოდებლის ფორმა'!$M14="",'მომწოდებლის ფორმა'!$P14="",'მომწოდებლის ფორმა'!$Z14=""),"",MAX(('მომწოდებლის ფორმა'!C14+$B$33+IF('მომწოდებლის ფორმა'!$Q14="",0,30/'მომწოდებლის ფორმა'!$Q14*$B$34))/'მომწოდებლის ფორმა'!$M14,30/'მომწოდებლის ფორმა'!$P14)*'მომწოდებლის ფორმა'!$Z14/'მომწოდებლის ფორმა'!C14+IF(OR('მომწოდებლის ფორმა'!$R14="",N('მომწოდებლის ფორმა'!$S14)=0,N('მომწოდებლის ფორმა'!$T14)=0),0,'მომწოდებლის ფორმა'!$S14*'მომწოდებლის ფორმა'!$AB14*30/'მომწოდებლის ფორმა'!$T14/SUMIF('მომწოდებლის ფორმა'!$R$4:$R$27,'მომწოდებლის ფორმა'!$R14,'მომწოდებლის ფორმა'!C$4:C$27))+IF(OR('მომწოდებლის ფორმა'!$U14="",N('მომწოდებლის ფორმა'!$V14)=0,N('მომწოდებლის ფორმა'!$W14)=0),0,'მომწოდებლის ფორმა'!$V14*'მომწოდებლის ფორმა'!$AB14*30/'მომწოდებლის ფორმა'!$W14/SUMIF('მომწოდებლის ფორმა'!$U$4:$U$27,'მომწოდებლის ფორმა'!$U14,'მომწოდებლის ფორმა'!C$4:C$27))+N('მომწოდებლის ფორმა'!$X14)*'მომწოდებლის ფორმა'!$AB14)</f>
        <v/>
      </c>
      <c r="D14" s="21" t="str">
        <f>IF(OR(N('მომწოდებლის ფორმა'!D14)&lt;=0,'მომწოდებლის ფორმა'!$M14="",'მომწოდებლის ფორმა'!$P14="",'მომწოდებლის ფორმა'!$Z14=""),"",MAX(('მომწოდებლის ფორმა'!D14+$B$33+IF('მომწოდებლის ფორმა'!$Q14="",0,30/'მომწოდებლის ფორმა'!$Q14*$B$34))/'მომწოდებლის ფორმა'!$M14,30/'მომწოდებლის ფორმა'!$P14)*'მომწოდებლის ფორმა'!$Z14/'მომწოდებლის ფორმა'!D14+IF(OR('მომწოდებლის ფორმა'!$R14="",N('მომწოდებლის ფორმა'!$S14)=0,N('მომწოდებლის ფორმა'!$T14)=0),0,'მომწოდებლის ფორმა'!$S14*'მომწოდებლის ფორმა'!$AB14*30/'მომწოდებლის ფორმა'!$T14/SUMIF('მომწოდებლის ფორმა'!$R$4:$R$27,'მომწოდებლის ფორმა'!$R14,'მომწოდებლის ფორმა'!D$4:D$27))+IF(OR('მომწოდებლის ფორმა'!$U14="",N('მომწოდებლის ფორმა'!$V14)=0,N('მომწოდებლის ფორმა'!$W14)=0),0,'მომწოდებლის ფორმა'!$V14*'მომწოდებლის ფორმა'!$AB14*30/'მომწოდებლის ფორმა'!$W14/SUMIF('მომწოდებლის ფორმა'!$U$4:$U$27,'მომწოდებლის ფორმა'!$U14,'მომწოდებლის ფორმა'!D$4:D$27))+N('მომწოდებლის ფორმა'!$X14)*'მომწოდებლის ფორმა'!$AB14)</f>
        <v/>
      </c>
      <c r="E14" s="21" t="str">
        <f>IF(OR(N('მომწოდებლის ფორმა'!E14)&lt;=0,'მომწოდებლის ფორმა'!$M14="",'მომწოდებლის ფორმა'!$P14="",'მომწოდებლის ფორმა'!$Z14=""),"",MAX(('მომწოდებლის ფორმა'!E14+$B$33+IF('მომწოდებლის ფორმა'!$Q14="",0,30/'მომწოდებლის ფორმა'!$Q14*$B$34))/'მომწოდებლის ფორმა'!$M14,30/'მომწოდებლის ფორმა'!$P14)*'მომწოდებლის ფორმა'!$Z14/'მომწოდებლის ფორმა'!E14+IF(OR('მომწოდებლის ფორმა'!$R14="",N('მომწოდებლის ფორმა'!$S14)=0,N('მომწოდებლის ფორმა'!$T14)=0),0,'მომწოდებლის ფორმა'!$S14*'მომწოდებლის ფორმა'!$AB14*30/'მომწოდებლის ფორმა'!$T14/SUMIF('მომწოდებლის ფორმა'!$R$4:$R$27,'მომწოდებლის ფორმა'!$R14,'მომწოდებლის ფორმა'!E$4:E$27))+IF(OR('მომწოდებლის ფორმა'!$U14="",N('მომწოდებლის ფორმა'!$V14)=0,N('მომწოდებლის ფორმა'!$W14)=0),0,'მომწოდებლის ფორმა'!$V14*'მომწოდებლის ფორმა'!$AB14*30/'მომწოდებლის ფორმა'!$W14/SUMIF('მომწოდებლის ფორმა'!$U$4:$U$27,'მომწოდებლის ფორმა'!$U14,'მომწოდებლის ფორმა'!E$4:E$27))+N('მომწოდებლის ფორმა'!$X14)*'მომწოდებლის ფორმა'!$AB14)</f>
        <v/>
      </c>
      <c r="F14" s="21" t="str">
        <f>IF(OR(N('მომწოდებლის ფორმა'!F14)&lt;=0,'მომწოდებლის ფორმა'!$M14="",'მომწოდებლის ფორმა'!$P14="",'მომწოდებლის ფორმა'!$Z14=""),"",MAX(('მომწოდებლის ფორმა'!F14+$B$33+IF('მომწოდებლის ფორმა'!$Q14="",0,30/'მომწოდებლის ფორმა'!$Q14*$B$34))/'მომწოდებლის ფორმა'!$M14,30/'მომწოდებლის ფორმა'!$P14)*'მომწოდებლის ფორმა'!$Z14/'მომწოდებლის ფორმა'!F14+IF(OR('მომწოდებლის ფორმა'!$R14="",N('მომწოდებლის ფორმა'!$S14)=0,N('მომწოდებლის ფორმა'!$T14)=0),0,'მომწოდებლის ფორმა'!$S14*'მომწოდებლის ფორმა'!$AB14*30/'მომწოდებლის ფორმა'!$T14/SUMIF('მომწოდებლის ფორმა'!$R$4:$R$27,'მომწოდებლის ფორმა'!$R14,'მომწოდებლის ფორმა'!F$4:F$27))+IF(OR('მომწოდებლის ფორმა'!$U14="",N('მომწოდებლის ფორმა'!$V14)=0,N('მომწოდებლის ფორმა'!$W14)=0),0,'მომწოდებლის ფორმა'!$V14*'მომწოდებლის ფორმა'!$AB14*30/'მომწოდებლის ფორმა'!$W14/SUMIF('მომწოდებლის ფორმა'!$U$4:$U$27,'მომწოდებლის ფორმა'!$U14,'მომწოდებლის ფორმა'!F$4:F$27))+N('მომწოდებლის ფორმა'!$X14)*'მომწოდებლის ფორმა'!$AB14)</f>
        <v/>
      </c>
      <c r="G14" s="21" t="str">
        <f>IF(OR(N('მომწოდებლის ფორმა'!G14)&lt;=0,'მომწოდებლის ფორმა'!$M14="",'მომწოდებლის ფორმა'!$P14="",'მომწოდებლის ფორმა'!$Z14=""),"",MAX(('მომწოდებლის ფორმა'!G14+$B$33+IF('მომწოდებლის ფორმა'!$Q14="",0,30/'მომწოდებლის ფორმა'!$Q14*$B$34))/'მომწოდებლის ფორმა'!$M14,30/'მომწოდებლის ფორმა'!$P14)*'მომწოდებლის ფორმა'!$Z14/'მომწოდებლის ფორმა'!G14+IF(OR('მომწოდებლის ფორმა'!$R14="",N('მომწოდებლის ფორმა'!$S14)=0,N('მომწოდებლის ფორმა'!$T14)=0),0,'მომწოდებლის ფორმა'!$S14*'მომწოდებლის ფორმა'!$AB14*30/'მომწოდებლის ფორმა'!$T14/SUMIF('მომწოდებლის ფორმა'!$R$4:$R$27,'მომწოდებლის ფორმა'!$R14,'მომწოდებლის ფორმა'!G$4:G$27))+IF(OR('მომწოდებლის ფორმა'!$U14="",N('მომწოდებლის ფორმა'!$V14)=0,N('მომწოდებლის ფორმა'!$W14)=0),0,'მომწოდებლის ფორმა'!$V14*'მომწოდებლის ფორმა'!$AB14*30/'მომწოდებლის ფორმა'!$W14/SUMIF('მომწოდებლის ფორმა'!$U$4:$U$27,'მომწოდებლის ფორმა'!$U14,'მომწოდებლის ფორმა'!G$4:G$27))+N('მომწოდებლის ფორმა'!$X14)*'მომწოდებლის ფორმა'!$AB14)</f>
        <v/>
      </c>
      <c r="H14" s="21" t="str">
        <f>IF(OR(N('მომწოდებლის ფორმა'!H14)&lt;=0,'მომწოდებლის ფორმა'!$M14="",'მომწოდებლის ფორმა'!$P14="",'მომწოდებლის ფორმა'!$Z14=""),"",MAX(('მომწოდებლის ფორმა'!H14+$B$33+IF('მომწოდებლის ფორმა'!$Q14="",0,30/'მომწოდებლის ფორმა'!$Q14*$B$34))/'მომწოდებლის ფორმა'!$M14,30/'მომწოდებლის ფორმა'!$P14)*'მომწოდებლის ფორმა'!$Z14/'მომწოდებლის ფორმა'!H14+IF(OR('მომწოდებლის ფორმა'!$R14="",N('მომწოდებლის ფორმა'!$S14)=0,N('მომწოდებლის ფორმა'!$T14)=0),0,'მომწოდებლის ფორმა'!$S14*'მომწოდებლის ფორმა'!$AB14*30/'მომწოდებლის ფორმა'!$T14/SUMIF('მომწოდებლის ფორმა'!$R$4:$R$27,'მომწოდებლის ფორმა'!$R14,'მომწოდებლის ფორმა'!H$4:H$27))+IF(OR('მომწოდებლის ფორმა'!$U14="",N('მომწოდებლის ფორმა'!$V14)=0,N('მომწოდებლის ფორმა'!$W14)=0),0,'მომწოდებლის ფორმა'!$V14*'მომწოდებლის ფორმა'!$AB14*30/'მომწოდებლის ფორმა'!$W14/SUMIF('მომწოდებლის ფორმა'!$U$4:$U$27,'მომწოდებლის ფორმა'!$U14,'მომწოდებლის ფორმა'!H$4:H$27))+N('მომწოდებლის ფორმა'!$X14)*'მომწოდებლის ფორმა'!$AB14)</f>
        <v/>
      </c>
      <c r="I14" s="21" t="str">
        <f>IF(OR(N('მომწოდებლის ფორმა'!I14)&lt;=0,'მომწოდებლის ფორმა'!$M14="",'მომწოდებლის ფორმა'!$P14="",'მომწოდებლის ფორმა'!$Z14=""),"",MAX(('მომწოდებლის ფორმა'!I14+$B$33+IF('მომწოდებლის ფორმა'!$Q14="",0,30/'მომწოდებლის ფორმა'!$Q14*$B$34))/'მომწოდებლის ფორმა'!$M14,30/'მომწოდებლის ფორმა'!$P14)*'მომწოდებლის ფორმა'!$Z14/'მომწოდებლის ფორმა'!I14+IF(OR('მომწოდებლის ფორმა'!$R14="",N('მომწოდებლის ფორმა'!$S14)=0,N('მომწოდებლის ფორმა'!$T14)=0),0,'მომწოდებლის ფორმა'!$S14*'მომწოდებლის ფორმა'!$AB14*30/'მომწოდებლის ფორმა'!$T14/SUMIF('მომწოდებლის ფორმა'!$R$4:$R$27,'მომწოდებლის ფორმა'!$R14,'მომწოდებლის ფორმა'!I$4:I$27))+IF(OR('მომწოდებლის ფორმა'!$U14="",N('მომწოდებლის ფორმა'!$V14)=0,N('მომწოდებლის ფორმა'!$W14)=0),0,'მომწოდებლის ფორმა'!$V14*'მომწოდებლის ფორმა'!$AB14*30/'მომწოდებლის ფორმა'!$W14/SUMIF('მომწოდებლის ფორმა'!$U$4:$U$27,'მომწოდებლის ფორმა'!$U14,'მომწოდებლის ფორმა'!I$4:I$27))+N('მომწოდებლის ფორმა'!$X14)*'მომწოდებლის ფორმა'!$AB14)</f>
        <v/>
      </c>
    </row>
    <row r="15" spans="1:9" x14ac:dyDescent="0.3">
      <c r="A15" s="31" t="str">
        <f>'მომწოდებლის ფორმა'!A15</f>
        <v>რკინა Fe G1</v>
      </c>
      <c r="B15" s="21" t="str">
        <f>IF(OR(N('მომწოდებლის ფორმა'!B15)&lt;=0,'მომწოდებლის ფორმა'!$M15="",'მომწოდებლის ფორმა'!$P15="",'მომწოდებლის ფორმა'!$Z15=""),"",MAX(('მომწოდებლის ფორმა'!B15+$B$33+IF('მომწოდებლის ფორმა'!$Q15="",0,30/'მომწოდებლის ფორმა'!$Q15*$B$34))/'მომწოდებლის ფორმა'!$M15,30/'მომწოდებლის ფორმა'!$P15)*'მომწოდებლის ფორმა'!$Z15/'მომწოდებლის ფორმა'!B15+IF(OR('მომწოდებლის ფორმა'!$R15="",N('მომწოდებლის ფორმა'!$S15)=0,N('მომწოდებლის ფორმა'!$T15)=0),0,'მომწოდებლის ფორმა'!$S15*'მომწოდებლის ფორმა'!$AB15*30/'მომწოდებლის ფორმა'!$T15/SUMIF('მომწოდებლის ფორმა'!$R$4:$R$27,'მომწოდებლის ფორმა'!$R15,'მომწოდებლის ფორმა'!B$4:B$27))+IF(OR('მომწოდებლის ფორმა'!$U15="",N('მომწოდებლის ფორმა'!$V15)=0,N('მომწოდებლის ფორმა'!$W15)=0),0,'მომწოდებლის ფორმა'!$V15*'მომწოდებლის ფორმა'!$AB15*30/'მომწოდებლის ფორმა'!$W15/SUMIF('მომწოდებლის ფორმა'!$U$4:$U$27,'მომწოდებლის ფორმა'!$U15,'მომწოდებლის ფორმა'!B$4:B$27))+N('მომწოდებლის ფორმა'!$X15)*'მომწოდებლის ფორმა'!$AB15)</f>
        <v/>
      </c>
      <c r="C15" s="21" t="str">
        <f>IF(OR(N('მომწოდებლის ფორმა'!C15)&lt;=0,'მომწოდებლის ფორმა'!$M15="",'მომწოდებლის ფორმა'!$P15="",'მომწოდებლის ფორმა'!$Z15=""),"",MAX(('მომწოდებლის ფორმა'!C15+$B$33+IF('მომწოდებლის ფორმა'!$Q15="",0,30/'მომწოდებლის ფორმა'!$Q15*$B$34))/'მომწოდებლის ფორმა'!$M15,30/'მომწოდებლის ფორმა'!$P15)*'მომწოდებლის ფორმა'!$Z15/'მომწოდებლის ფორმა'!C15+IF(OR('მომწოდებლის ფორმა'!$R15="",N('მომწოდებლის ფორმა'!$S15)=0,N('მომწოდებლის ფორმა'!$T15)=0),0,'მომწოდებლის ფორმა'!$S15*'მომწოდებლის ფორმა'!$AB15*30/'მომწოდებლის ფორმა'!$T15/SUMIF('მომწოდებლის ფორმა'!$R$4:$R$27,'მომწოდებლის ფორმა'!$R15,'მომწოდებლის ფორმა'!C$4:C$27))+IF(OR('მომწოდებლის ფორმა'!$U15="",N('მომწოდებლის ფორმა'!$V15)=0,N('მომწოდებლის ფორმა'!$W15)=0),0,'მომწოდებლის ფორმა'!$V15*'მომწოდებლის ფორმა'!$AB15*30/'მომწოდებლის ფორმა'!$W15/SUMIF('მომწოდებლის ფორმა'!$U$4:$U$27,'მომწოდებლის ფორმა'!$U15,'მომწოდებლის ფორმა'!C$4:C$27))+N('მომწოდებლის ფორმა'!$X15)*'მომწოდებლის ფორმა'!$AB15)</f>
        <v/>
      </c>
      <c r="D15" s="21" t="str">
        <f>IF(OR(N('მომწოდებლის ფორმა'!D15)&lt;=0,'მომწოდებლის ფორმა'!$M15="",'მომწოდებლის ფორმა'!$P15="",'მომწოდებლის ფორმა'!$Z15=""),"",MAX(('მომწოდებლის ფორმა'!D15+$B$33+IF('მომწოდებლის ფორმა'!$Q15="",0,30/'მომწოდებლის ფორმა'!$Q15*$B$34))/'მომწოდებლის ფორმა'!$M15,30/'მომწოდებლის ფორმა'!$P15)*'მომწოდებლის ფორმა'!$Z15/'მომწოდებლის ფორმა'!D15+IF(OR('მომწოდებლის ფორმა'!$R15="",N('მომწოდებლის ფორმა'!$S15)=0,N('მომწოდებლის ფორმა'!$T15)=0),0,'მომწოდებლის ფორმა'!$S15*'მომწოდებლის ფორმა'!$AB15*30/'მომწოდებლის ფორმა'!$T15/SUMIF('მომწოდებლის ფორმა'!$R$4:$R$27,'მომწოდებლის ფორმა'!$R15,'მომწოდებლის ფორმა'!D$4:D$27))+IF(OR('მომწოდებლის ფორმა'!$U15="",N('მომწოდებლის ფორმა'!$V15)=0,N('მომწოდებლის ფორმა'!$W15)=0),0,'მომწოდებლის ფორმა'!$V15*'მომწოდებლის ფორმა'!$AB15*30/'მომწოდებლის ფორმა'!$W15/SUMIF('მომწოდებლის ფორმა'!$U$4:$U$27,'მომწოდებლის ფორმა'!$U15,'მომწოდებლის ფორმა'!D$4:D$27))+N('მომწოდებლის ფორმა'!$X15)*'მომწოდებლის ფორმა'!$AB15)</f>
        <v/>
      </c>
      <c r="E15" s="21" t="str">
        <f>IF(OR(N('მომწოდებლის ფორმა'!E15)&lt;=0,'მომწოდებლის ფორმა'!$M15="",'მომწოდებლის ფორმა'!$P15="",'მომწოდებლის ფორმა'!$Z15=""),"",MAX(('მომწოდებლის ფორმა'!E15+$B$33+IF('მომწოდებლის ფორმა'!$Q15="",0,30/'მომწოდებლის ფორმა'!$Q15*$B$34))/'მომწოდებლის ფორმა'!$M15,30/'მომწოდებლის ფორმა'!$P15)*'მომწოდებლის ფორმა'!$Z15/'მომწოდებლის ფორმა'!E15+IF(OR('მომწოდებლის ფორმა'!$R15="",N('მომწოდებლის ფორმა'!$S15)=0,N('მომწოდებლის ფორმა'!$T15)=0),0,'მომწოდებლის ფორმა'!$S15*'მომწოდებლის ფორმა'!$AB15*30/'მომწოდებლის ფორმა'!$T15/SUMIF('მომწოდებლის ფორმა'!$R$4:$R$27,'მომწოდებლის ფორმა'!$R15,'მომწოდებლის ფორმა'!E$4:E$27))+IF(OR('მომწოდებლის ფორმა'!$U15="",N('მომწოდებლის ფორმა'!$V15)=0,N('მომწოდებლის ფორმა'!$W15)=0),0,'მომწოდებლის ფორმა'!$V15*'მომწოდებლის ფორმა'!$AB15*30/'მომწოდებლის ფორმა'!$W15/SUMIF('მომწოდებლის ფორმა'!$U$4:$U$27,'მომწოდებლის ფორმა'!$U15,'მომწოდებლის ფორმა'!E$4:E$27))+N('მომწოდებლის ფორმა'!$X15)*'მომწოდებლის ფორმა'!$AB15)</f>
        <v/>
      </c>
      <c r="F15" s="21" t="str">
        <f>IF(OR(N('მომწოდებლის ფორმა'!F15)&lt;=0,'მომწოდებლის ფორმა'!$M15="",'მომწოდებლის ფორმა'!$P15="",'მომწოდებლის ფორმა'!$Z15=""),"",MAX(('მომწოდებლის ფორმა'!F15+$B$33+IF('მომწოდებლის ფორმა'!$Q15="",0,30/'მომწოდებლის ფორმა'!$Q15*$B$34))/'მომწოდებლის ფორმა'!$M15,30/'მომწოდებლის ფორმა'!$P15)*'მომწოდებლის ფორმა'!$Z15/'მომწოდებლის ფორმა'!F15+IF(OR('მომწოდებლის ფორმა'!$R15="",N('მომწოდებლის ფორმა'!$S15)=0,N('მომწოდებლის ფორმა'!$T15)=0),0,'მომწოდებლის ფორმა'!$S15*'მომწოდებლის ფორმა'!$AB15*30/'მომწოდებლის ფორმა'!$T15/SUMIF('მომწოდებლის ფორმა'!$R$4:$R$27,'მომწოდებლის ფორმა'!$R15,'მომწოდებლის ფორმა'!F$4:F$27))+IF(OR('მომწოდებლის ფორმა'!$U15="",N('მომწოდებლის ფორმა'!$V15)=0,N('მომწოდებლის ფორმა'!$W15)=0),0,'მომწოდებლის ფორმა'!$V15*'მომწოდებლის ფორმა'!$AB15*30/'მომწოდებლის ფორმა'!$W15/SUMIF('მომწოდებლის ფორმა'!$U$4:$U$27,'მომწოდებლის ფორმა'!$U15,'მომწოდებლის ფორმა'!F$4:F$27))+N('მომწოდებლის ფორმა'!$X15)*'მომწოდებლის ფორმა'!$AB15)</f>
        <v/>
      </c>
      <c r="G15" s="21" t="str">
        <f>IF(OR(N('მომწოდებლის ფორმა'!G15)&lt;=0,'მომწოდებლის ფორმა'!$M15="",'მომწოდებლის ფორმა'!$P15="",'მომწოდებლის ფორმა'!$Z15=""),"",MAX(('მომწოდებლის ფორმა'!G15+$B$33+IF('მომწოდებლის ფორმა'!$Q15="",0,30/'მომწოდებლის ფორმა'!$Q15*$B$34))/'მომწოდებლის ფორმა'!$M15,30/'მომწოდებლის ფორმა'!$P15)*'მომწოდებლის ფორმა'!$Z15/'მომწოდებლის ფორმა'!G15+IF(OR('მომწოდებლის ფორმა'!$R15="",N('მომწოდებლის ფორმა'!$S15)=0,N('მომწოდებლის ფორმა'!$T15)=0),0,'მომწოდებლის ფორმა'!$S15*'მომწოდებლის ფორმა'!$AB15*30/'მომწოდებლის ფორმა'!$T15/SUMIF('მომწოდებლის ფორმა'!$R$4:$R$27,'მომწოდებლის ფორმა'!$R15,'მომწოდებლის ფორმა'!G$4:G$27))+IF(OR('მომწოდებლის ფორმა'!$U15="",N('მომწოდებლის ფორმა'!$V15)=0,N('მომწოდებლის ფორმა'!$W15)=0),0,'მომწოდებლის ფორმა'!$V15*'მომწოდებლის ფორმა'!$AB15*30/'მომწოდებლის ფორმა'!$W15/SUMIF('მომწოდებლის ფორმა'!$U$4:$U$27,'მომწოდებლის ფორმა'!$U15,'მომწოდებლის ფორმა'!G$4:G$27))+N('მომწოდებლის ფორმა'!$X15)*'მომწოდებლის ფორმა'!$AB15)</f>
        <v/>
      </c>
      <c r="H15" s="21" t="str">
        <f>IF(OR(N('მომწოდებლის ფორმა'!H15)&lt;=0,'მომწოდებლის ფორმა'!$M15="",'მომწოდებლის ფორმა'!$P15="",'მომწოდებლის ფორმა'!$Z15=""),"",MAX(('მომწოდებლის ფორმა'!H15+$B$33+IF('მომწოდებლის ფორმა'!$Q15="",0,30/'მომწოდებლის ფორმა'!$Q15*$B$34))/'მომწოდებლის ფორმა'!$M15,30/'მომწოდებლის ფორმა'!$P15)*'მომწოდებლის ფორმა'!$Z15/'მომწოდებლის ფორმა'!H15+IF(OR('მომწოდებლის ფორმა'!$R15="",N('მომწოდებლის ფორმა'!$S15)=0,N('მომწოდებლის ფორმა'!$T15)=0),0,'მომწოდებლის ფორმა'!$S15*'მომწოდებლის ფორმა'!$AB15*30/'მომწოდებლის ფორმა'!$T15/SUMIF('მომწოდებლის ფორმა'!$R$4:$R$27,'მომწოდებლის ფორმა'!$R15,'მომწოდებლის ფორმა'!H$4:H$27))+IF(OR('მომწოდებლის ფორმა'!$U15="",N('მომწოდებლის ფორმა'!$V15)=0,N('მომწოდებლის ფორმა'!$W15)=0),0,'მომწოდებლის ფორმა'!$V15*'მომწოდებლის ფორმა'!$AB15*30/'მომწოდებლის ფორმა'!$W15/SUMIF('მომწოდებლის ფორმა'!$U$4:$U$27,'მომწოდებლის ფორმა'!$U15,'მომწოდებლის ფორმა'!H$4:H$27))+N('მომწოდებლის ფორმა'!$X15)*'მომწოდებლის ფორმა'!$AB15)</f>
        <v/>
      </c>
      <c r="I15" s="21" t="str">
        <f>IF(OR(N('მომწოდებლის ფორმა'!I15)&lt;=0,'მომწოდებლის ფორმა'!$M15="",'მომწოდებლის ფორმა'!$P15="",'მომწოდებლის ფორმა'!$Z15=""),"",MAX(('მომწოდებლის ფორმა'!I15+$B$33+IF('მომწოდებლის ფორმა'!$Q15="",0,30/'მომწოდებლის ფორმა'!$Q15*$B$34))/'მომწოდებლის ფორმა'!$M15,30/'მომწოდებლის ფორმა'!$P15)*'მომწოდებლის ფორმა'!$Z15/'მომწოდებლის ფორმა'!I15+IF(OR('მომწოდებლის ფორმა'!$R15="",N('მომწოდებლის ფორმა'!$S15)=0,N('მომწოდებლის ფორმა'!$T15)=0),0,'მომწოდებლის ფორმა'!$S15*'მომწოდებლის ფორმა'!$AB15*30/'მომწოდებლის ფორმა'!$T15/SUMIF('მომწოდებლის ფორმა'!$R$4:$R$27,'მომწოდებლის ფორმა'!$R15,'მომწოდებლის ფორმა'!I$4:I$27))+IF(OR('მომწოდებლის ფორმა'!$U15="",N('მომწოდებლის ფორმა'!$V15)=0,N('მომწოდებლის ფორმა'!$W15)=0),0,'მომწოდებლის ფორმა'!$V15*'მომწოდებლის ფორმა'!$AB15*30/'მომწოდებლის ფორმა'!$W15/SUMIF('მომწოდებლის ფორმა'!$U$4:$U$27,'მომწოდებლის ფორმა'!$U15,'მომწოდებლის ფორმა'!I$4:I$27))+N('მომწოდებლის ფორმა'!$X15)*'მომწოდებლის ფორმა'!$AB15)</f>
        <v/>
      </c>
    </row>
    <row r="16" spans="1:9" x14ac:dyDescent="0.3">
      <c r="A16" s="31" t="str">
        <f>'მომწოდებლის ფორმა'!A16</f>
        <v>რეაქტიული ცილა CRP G1</v>
      </c>
      <c r="B16" s="21" t="str">
        <f>IF(OR(N('მომწოდებლის ფორმა'!B16)&lt;=0,'მომწოდებლის ფორმა'!$M16="",'მომწოდებლის ფორმა'!$P16="",'მომწოდებლის ფორმა'!$Z16=""),"",MAX(('მომწოდებლის ფორმა'!B16+$B$33+IF('მომწოდებლის ფორმა'!$Q16="",0,30/'მომწოდებლის ფორმა'!$Q16*$B$34))/'მომწოდებლის ფორმა'!$M16,30/'მომწოდებლის ფორმა'!$P16)*'მომწოდებლის ფორმა'!$Z16/'მომწოდებლის ფორმა'!B16+IF(OR('მომწოდებლის ფორმა'!$R16="",N('მომწოდებლის ფორმა'!$S16)=0,N('მომწოდებლის ფორმა'!$T16)=0),0,'მომწოდებლის ფორმა'!$S16*'მომწოდებლის ფორმა'!$AB16*30/'მომწოდებლის ფორმა'!$T16/SUMIF('მომწოდებლის ფორმა'!$R$4:$R$27,'მომწოდებლის ფორმა'!$R16,'მომწოდებლის ფორმა'!B$4:B$27))+IF(OR('მომწოდებლის ფორმა'!$U16="",N('მომწოდებლის ფორმა'!$V16)=0,N('მომწოდებლის ფორმა'!$W16)=0),0,'მომწოდებლის ფორმა'!$V16*'მომწოდებლის ფორმა'!$AB16*30/'მომწოდებლის ფორმა'!$W16/SUMIF('მომწოდებლის ფორმა'!$U$4:$U$27,'მომწოდებლის ფორმა'!$U16,'მომწოდებლის ფორმა'!B$4:B$27))+N('მომწოდებლის ფორმა'!$X16)*'მომწოდებლის ფორმა'!$AB16)</f>
        <v/>
      </c>
      <c r="C16" s="21" t="str">
        <f>IF(OR(N('მომწოდებლის ფორმა'!C16)&lt;=0,'მომწოდებლის ფორმა'!$M16="",'მომწოდებლის ფორმა'!$P16="",'მომწოდებლის ფორმა'!$Z16=""),"",MAX(('მომწოდებლის ფორმა'!C16+$B$33+IF('მომწოდებლის ფორმა'!$Q16="",0,30/'მომწოდებლის ფორმა'!$Q16*$B$34))/'მომწოდებლის ფორმა'!$M16,30/'მომწოდებლის ფორმა'!$P16)*'მომწოდებლის ფორმა'!$Z16/'მომწოდებლის ფორმა'!C16+IF(OR('მომწოდებლის ფორმა'!$R16="",N('მომწოდებლის ფორმა'!$S16)=0,N('მომწოდებლის ფორმა'!$T16)=0),0,'მომწოდებლის ფორმა'!$S16*'მომწოდებლის ფორმა'!$AB16*30/'მომწოდებლის ფორმა'!$T16/SUMIF('მომწოდებლის ფორმა'!$R$4:$R$27,'მომწოდებლის ფორმა'!$R16,'მომწოდებლის ფორმა'!C$4:C$27))+IF(OR('მომწოდებლის ფორმა'!$U16="",N('მომწოდებლის ფორმა'!$V16)=0,N('მომწოდებლის ფორმა'!$W16)=0),0,'მომწოდებლის ფორმა'!$V16*'მომწოდებლის ფორმა'!$AB16*30/'მომწოდებლის ფორმა'!$W16/SUMIF('მომწოდებლის ფორმა'!$U$4:$U$27,'მომწოდებლის ფორმა'!$U16,'მომწოდებლის ფორმა'!C$4:C$27))+N('მომწოდებლის ფორმა'!$X16)*'მომწოდებლის ფორმა'!$AB16)</f>
        <v/>
      </c>
      <c r="D16" s="21" t="str">
        <f>IF(OR(N('მომწოდებლის ფორმა'!D16)&lt;=0,'მომწოდებლის ფორმა'!$M16="",'მომწოდებლის ფორმა'!$P16="",'მომწოდებლის ფორმა'!$Z16=""),"",MAX(('მომწოდებლის ფორმა'!D16+$B$33+IF('მომწოდებლის ფორმა'!$Q16="",0,30/'მომწოდებლის ფორმა'!$Q16*$B$34))/'მომწოდებლის ფორმა'!$M16,30/'მომწოდებლის ფორმა'!$P16)*'მომწოდებლის ფორმა'!$Z16/'მომწოდებლის ფორმა'!D16+IF(OR('მომწოდებლის ფორმა'!$R16="",N('მომწოდებლის ფორმა'!$S16)=0,N('მომწოდებლის ფორმა'!$T16)=0),0,'მომწოდებლის ფორმა'!$S16*'მომწოდებლის ფორმა'!$AB16*30/'მომწოდებლის ფორმა'!$T16/SUMIF('მომწოდებლის ფორმა'!$R$4:$R$27,'მომწოდებლის ფორმა'!$R16,'მომწოდებლის ფორმა'!D$4:D$27))+IF(OR('მომწოდებლის ფორმა'!$U16="",N('მომწოდებლის ფორმა'!$V16)=0,N('მომწოდებლის ფორმა'!$W16)=0),0,'მომწოდებლის ფორმა'!$V16*'მომწოდებლის ფორმა'!$AB16*30/'მომწოდებლის ფორმა'!$W16/SUMIF('მომწოდებლის ფორმა'!$U$4:$U$27,'მომწოდებლის ფორმა'!$U16,'მომწოდებლის ფორმა'!D$4:D$27))+N('მომწოდებლის ფორმა'!$X16)*'მომწოდებლის ფორმა'!$AB16)</f>
        <v/>
      </c>
      <c r="E16" s="21" t="str">
        <f>IF(OR(N('მომწოდებლის ფორმა'!E16)&lt;=0,'მომწოდებლის ფორმა'!$M16="",'მომწოდებლის ფორმა'!$P16="",'მომწოდებლის ფორმა'!$Z16=""),"",MAX(('მომწოდებლის ფორმა'!E16+$B$33+IF('მომწოდებლის ფორმა'!$Q16="",0,30/'მომწოდებლის ფორმა'!$Q16*$B$34))/'მომწოდებლის ფორმა'!$M16,30/'მომწოდებლის ფორმა'!$P16)*'მომწოდებლის ფორმა'!$Z16/'მომწოდებლის ფორმა'!E16+IF(OR('მომწოდებლის ფორმა'!$R16="",N('მომწოდებლის ფორმა'!$S16)=0,N('მომწოდებლის ფორმა'!$T16)=0),0,'მომწოდებლის ფორმა'!$S16*'მომწოდებლის ფორმა'!$AB16*30/'მომწოდებლის ფორმა'!$T16/SUMIF('მომწოდებლის ფორმა'!$R$4:$R$27,'მომწოდებლის ფორმა'!$R16,'მომწოდებლის ფორმა'!E$4:E$27))+IF(OR('მომწოდებლის ფორმა'!$U16="",N('მომწოდებლის ფორმა'!$V16)=0,N('მომწოდებლის ფორმა'!$W16)=0),0,'მომწოდებლის ფორმა'!$V16*'მომწოდებლის ფორმა'!$AB16*30/'მომწოდებლის ფორმა'!$W16/SUMIF('მომწოდებლის ფორმა'!$U$4:$U$27,'მომწოდებლის ფორმა'!$U16,'მომწოდებლის ფორმა'!E$4:E$27))+N('მომწოდებლის ფორმა'!$X16)*'მომწოდებლის ფორმა'!$AB16)</f>
        <v/>
      </c>
      <c r="F16" s="21" t="str">
        <f>IF(OR(N('მომწოდებლის ფორმა'!F16)&lt;=0,'მომწოდებლის ფორმა'!$M16="",'მომწოდებლის ფორმა'!$P16="",'მომწოდებლის ფორმა'!$Z16=""),"",MAX(('მომწოდებლის ფორმა'!F16+$B$33+IF('მომწოდებლის ფორმა'!$Q16="",0,30/'მომწოდებლის ფორმა'!$Q16*$B$34))/'მომწოდებლის ფორმა'!$M16,30/'მომწოდებლის ფორმა'!$P16)*'მომწოდებლის ფორმა'!$Z16/'მომწოდებლის ფორმა'!F16+IF(OR('მომწოდებლის ფორმა'!$R16="",N('მომწოდებლის ფორმა'!$S16)=0,N('მომწოდებლის ფორმა'!$T16)=0),0,'მომწოდებლის ფორმა'!$S16*'მომწოდებლის ფორმა'!$AB16*30/'მომწოდებლის ფორმა'!$T16/SUMIF('მომწოდებლის ფორმა'!$R$4:$R$27,'მომწოდებლის ფორმა'!$R16,'მომწოდებლის ფორმა'!F$4:F$27))+IF(OR('მომწოდებლის ფორმა'!$U16="",N('მომწოდებლის ფორმა'!$V16)=0,N('მომწოდებლის ფორმა'!$W16)=0),0,'მომწოდებლის ფორმა'!$V16*'მომწოდებლის ფორმა'!$AB16*30/'მომწოდებლის ფორმა'!$W16/SUMIF('მომწოდებლის ფორმა'!$U$4:$U$27,'მომწოდებლის ფორმა'!$U16,'მომწოდებლის ფორმა'!F$4:F$27))+N('მომწოდებლის ფორმა'!$X16)*'მომწოდებლის ფორმა'!$AB16)</f>
        <v/>
      </c>
      <c r="G16" s="21" t="str">
        <f>IF(OR(N('მომწოდებლის ფორმა'!G16)&lt;=0,'მომწოდებლის ფორმა'!$M16="",'მომწოდებლის ფორმა'!$P16="",'მომწოდებლის ფორმა'!$Z16=""),"",MAX(('მომწოდებლის ფორმა'!G16+$B$33+IF('მომწოდებლის ფორმა'!$Q16="",0,30/'მომწოდებლის ფორმა'!$Q16*$B$34))/'მომწოდებლის ფორმა'!$M16,30/'მომწოდებლის ფორმა'!$P16)*'მომწოდებლის ფორმა'!$Z16/'მომწოდებლის ფორმა'!G16+IF(OR('მომწოდებლის ფორმა'!$R16="",N('მომწოდებლის ფორმა'!$S16)=0,N('მომწოდებლის ფორმა'!$T16)=0),0,'მომწოდებლის ფორმა'!$S16*'მომწოდებლის ფორმა'!$AB16*30/'მომწოდებლის ფორმა'!$T16/SUMIF('მომწოდებლის ფორმა'!$R$4:$R$27,'მომწოდებლის ფორმა'!$R16,'მომწოდებლის ფორმა'!G$4:G$27))+IF(OR('მომწოდებლის ფორმა'!$U16="",N('მომწოდებლის ფორმა'!$V16)=0,N('მომწოდებლის ფორმა'!$W16)=0),0,'მომწოდებლის ფორმა'!$V16*'მომწოდებლის ფორმა'!$AB16*30/'მომწოდებლის ფორმა'!$W16/SUMIF('მომწოდებლის ფორმა'!$U$4:$U$27,'მომწოდებლის ფორმა'!$U16,'მომწოდებლის ფორმა'!G$4:G$27))+N('მომწოდებლის ფორმა'!$X16)*'მომწოდებლის ფორმა'!$AB16)</f>
        <v/>
      </c>
      <c r="H16" s="21" t="str">
        <f>IF(OR(N('მომწოდებლის ფორმა'!H16)&lt;=0,'მომწოდებლის ფორმა'!$M16="",'მომწოდებლის ფორმა'!$P16="",'მომწოდებლის ფორმა'!$Z16=""),"",MAX(('მომწოდებლის ფორმა'!H16+$B$33+IF('მომწოდებლის ფორმა'!$Q16="",0,30/'მომწოდებლის ფორმა'!$Q16*$B$34))/'მომწოდებლის ფორმა'!$M16,30/'მომწოდებლის ფორმა'!$P16)*'მომწოდებლის ფორმა'!$Z16/'მომწოდებლის ფორმა'!H16+IF(OR('მომწოდებლის ფორმა'!$R16="",N('მომწოდებლის ფორმა'!$S16)=0,N('მომწოდებლის ფორმა'!$T16)=0),0,'მომწოდებლის ფორმა'!$S16*'მომწოდებლის ფორმა'!$AB16*30/'მომწოდებლის ფორმა'!$T16/SUMIF('მომწოდებლის ფორმა'!$R$4:$R$27,'მომწოდებლის ფორმა'!$R16,'მომწოდებლის ფორმა'!H$4:H$27))+IF(OR('მომწოდებლის ფორმა'!$U16="",N('მომწოდებლის ფორმა'!$V16)=0,N('მომწოდებლის ფორმა'!$W16)=0),0,'მომწოდებლის ფორმა'!$V16*'მომწოდებლის ფორმა'!$AB16*30/'მომწოდებლის ფორმა'!$W16/SUMIF('მომწოდებლის ფორმა'!$U$4:$U$27,'მომწოდებლის ფორმა'!$U16,'მომწოდებლის ფორმა'!H$4:H$27))+N('მომწოდებლის ფორმა'!$X16)*'მომწოდებლის ფორმა'!$AB16)</f>
        <v/>
      </c>
      <c r="I16" s="21" t="str">
        <f>IF(OR(N('მომწოდებლის ფორმა'!I16)&lt;=0,'მომწოდებლის ფორმა'!$M16="",'მომწოდებლის ფორმა'!$P16="",'მომწოდებლის ფორმა'!$Z16=""),"",MAX(('მომწოდებლის ფორმა'!I16+$B$33+IF('მომწოდებლის ფორმა'!$Q16="",0,30/'მომწოდებლის ფორმა'!$Q16*$B$34))/'მომწოდებლის ფორმა'!$M16,30/'მომწოდებლის ფორმა'!$P16)*'მომწოდებლის ფორმა'!$Z16/'მომწოდებლის ფორმა'!I16+IF(OR('მომწოდებლის ფორმა'!$R16="",N('მომწოდებლის ფორმა'!$S16)=0,N('მომწოდებლის ფორმა'!$T16)=0),0,'მომწოდებლის ფორმა'!$S16*'მომწოდებლის ფორმა'!$AB16*30/'მომწოდებლის ფორმა'!$T16/SUMIF('მომწოდებლის ფორმა'!$R$4:$R$27,'მომწოდებლის ფორმა'!$R16,'მომწოდებლის ფორმა'!I$4:I$27))+IF(OR('მომწოდებლის ფორმა'!$U16="",N('მომწოდებლის ფორმა'!$V16)=0,N('მომწოდებლის ფორმა'!$W16)=0),0,'მომწოდებლის ფორმა'!$V16*'მომწოდებლის ფორმა'!$AB16*30/'მომწოდებლის ფორმა'!$W16/SUMIF('მომწოდებლის ფორმა'!$U$4:$U$27,'მომწოდებლის ფორმა'!$U16,'მომწოდებლის ფორმა'!I$4:I$27))+N('მომწოდებლის ფორმა'!$X16)*'მომწოდებლის ფორმა'!$AB16)</f>
        <v/>
      </c>
    </row>
    <row r="17" spans="1:9" x14ac:dyDescent="0.3">
      <c r="A17" s="31" t="str">
        <f>'მომწოდებლის ფორმა'!A17</f>
        <v>a-ამილაზა AMY G1</v>
      </c>
      <c r="B17" s="21" t="str">
        <f>IF(OR(N('მომწოდებლის ფორმა'!B17)&lt;=0,'მომწოდებლის ფორმა'!$M17="",'მომწოდებლის ფორმა'!$P17="",'მომწოდებლის ფორმა'!$Z17=""),"",MAX(('მომწოდებლის ფორმა'!B17+$B$33+IF('მომწოდებლის ფორმა'!$Q17="",0,30/'მომწოდებლის ფორმა'!$Q17*$B$34))/'მომწოდებლის ფორმა'!$M17,30/'მომწოდებლის ფორმა'!$P17)*'მომწოდებლის ფორმა'!$Z17/'მომწოდებლის ფორმა'!B17+IF(OR('მომწოდებლის ფორმა'!$R17="",N('მომწოდებლის ფორმა'!$S17)=0,N('მომწოდებლის ფორმა'!$T17)=0),0,'მომწოდებლის ფორმა'!$S17*'მომწოდებლის ფორმა'!$AB17*30/'მომწოდებლის ფორმა'!$T17/SUMIF('მომწოდებლის ფორმა'!$R$4:$R$27,'მომწოდებლის ფორმა'!$R17,'მომწოდებლის ფორმა'!B$4:B$27))+IF(OR('მომწოდებლის ფორმა'!$U17="",N('მომწოდებლის ფორმა'!$V17)=0,N('მომწოდებლის ფორმა'!$W17)=0),0,'მომწოდებლის ფორმა'!$V17*'მომწოდებლის ფორმა'!$AB17*30/'მომწოდებლის ფორმა'!$W17/SUMIF('მომწოდებლის ფორმა'!$U$4:$U$27,'მომწოდებლის ფორმა'!$U17,'მომწოდებლის ფორმა'!B$4:B$27))+N('მომწოდებლის ფორმა'!$X17)*'მომწოდებლის ფორმა'!$AB17)</f>
        <v/>
      </c>
      <c r="C17" s="21" t="str">
        <f>IF(OR(N('მომწოდებლის ფორმა'!C17)&lt;=0,'მომწოდებლის ფორმა'!$M17="",'მომწოდებლის ფორმა'!$P17="",'მომწოდებლის ფორმა'!$Z17=""),"",MAX(('მომწოდებლის ფორმა'!C17+$B$33+IF('მომწოდებლის ფორმა'!$Q17="",0,30/'მომწოდებლის ფორმა'!$Q17*$B$34))/'მომწოდებლის ფორმა'!$M17,30/'მომწოდებლის ფორმა'!$P17)*'მომწოდებლის ფორმა'!$Z17/'მომწოდებლის ფორმა'!C17+IF(OR('მომწოდებლის ფორმა'!$R17="",N('მომწოდებლის ფორმა'!$S17)=0,N('მომწოდებლის ფორმა'!$T17)=0),0,'მომწოდებლის ფორმა'!$S17*'მომწოდებლის ფორმა'!$AB17*30/'მომწოდებლის ფორმა'!$T17/SUMIF('მომწოდებლის ფორმა'!$R$4:$R$27,'მომწოდებლის ფორმა'!$R17,'მომწოდებლის ფორმა'!C$4:C$27))+IF(OR('მომწოდებლის ფორმა'!$U17="",N('მომწოდებლის ფორმა'!$V17)=0,N('მომწოდებლის ფორმა'!$W17)=0),0,'მომწოდებლის ფორმა'!$V17*'მომწოდებლის ფორმა'!$AB17*30/'მომწოდებლის ფორმა'!$W17/SUMIF('მომწოდებლის ფორმა'!$U$4:$U$27,'მომწოდებლის ფორმა'!$U17,'მომწოდებლის ფორმა'!C$4:C$27))+N('მომწოდებლის ფორმა'!$X17)*'მომწოდებლის ფორმა'!$AB17)</f>
        <v/>
      </c>
      <c r="D17" s="21" t="str">
        <f>IF(OR(N('მომწოდებლის ფორმა'!D17)&lt;=0,'მომწოდებლის ფორმა'!$M17="",'მომწოდებლის ფორმა'!$P17="",'მომწოდებლის ფორმა'!$Z17=""),"",MAX(('მომწოდებლის ფორმა'!D17+$B$33+IF('მომწოდებლის ფორმა'!$Q17="",0,30/'მომწოდებლის ფორმა'!$Q17*$B$34))/'მომწოდებლის ფორმა'!$M17,30/'მომწოდებლის ფორმა'!$P17)*'მომწოდებლის ფორმა'!$Z17/'მომწოდებლის ფორმა'!D17+IF(OR('მომწოდებლის ფორმა'!$R17="",N('მომწოდებლის ფორმა'!$S17)=0,N('მომწოდებლის ფორმა'!$T17)=0),0,'მომწოდებლის ფორმა'!$S17*'მომწოდებლის ფორმა'!$AB17*30/'მომწოდებლის ფორმა'!$T17/SUMIF('მომწოდებლის ფორმა'!$R$4:$R$27,'მომწოდებლის ფორმა'!$R17,'მომწოდებლის ფორმა'!D$4:D$27))+IF(OR('მომწოდებლის ფორმა'!$U17="",N('მომწოდებლის ფორმა'!$V17)=0,N('მომწოდებლის ფორმა'!$W17)=0),0,'მომწოდებლის ფორმა'!$V17*'მომწოდებლის ფორმა'!$AB17*30/'მომწოდებლის ფორმა'!$W17/SUMIF('მომწოდებლის ფორმა'!$U$4:$U$27,'მომწოდებლის ფორმა'!$U17,'მომწოდებლის ფორმა'!D$4:D$27))+N('მომწოდებლის ფორმა'!$X17)*'მომწოდებლის ფორმა'!$AB17)</f>
        <v/>
      </c>
      <c r="E17" s="21" t="str">
        <f>IF(OR(N('მომწოდებლის ფორმა'!E17)&lt;=0,'მომწოდებლის ფორმა'!$M17="",'მომწოდებლის ფორმა'!$P17="",'მომწოდებლის ფორმა'!$Z17=""),"",MAX(('მომწოდებლის ფორმა'!E17+$B$33+IF('მომწოდებლის ფორმა'!$Q17="",0,30/'მომწოდებლის ფორმა'!$Q17*$B$34))/'მომწოდებლის ფორმა'!$M17,30/'მომწოდებლის ფორმა'!$P17)*'მომწოდებლის ფორმა'!$Z17/'მომწოდებლის ფორმა'!E17+IF(OR('მომწოდებლის ფორმა'!$R17="",N('მომწოდებლის ფორმა'!$S17)=0,N('მომწოდებლის ფორმა'!$T17)=0),0,'მომწოდებლის ფორმა'!$S17*'მომწოდებლის ფორმა'!$AB17*30/'მომწოდებლის ფორმა'!$T17/SUMIF('მომწოდებლის ფორმა'!$R$4:$R$27,'მომწოდებლის ფორმა'!$R17,'მომწოდებლის ფორმა'!E$4:E$27))+IF(OR('მომწოდებლის ფორმა'!$U17="",N('მომწოდებლის ფორმა'!$V17)=0,N('მომწოდებლის ფორმა'!$W17)=0),0,'მომწოდებლის ფორმა'!$V17*'მომწოდებლის ფორმა'!$AB17*30/'მომწოდებლის ფორმა'!$W17/SUMIF('მომწოდებლის ფორმა'!$U$4:$U$27,'მომწოდებლის ფორმა'!$U17,'მომწოდებლის ფორმა'!E$4:E$27))+N('მომწოდებლის ფორმა'!$X17)*'მომწოდებლის ფორმა'!$AB17)</f>
        <v/>
      </c>
      <c r="F17" s="21" t="str">
        <f>IF(OR(N('მომწოდებლის ფორმა'!F17)&lt;=0,'მომწოდებლის ფორმა'!$M17="",'მომწოდებლის ფორმა'!$P17="",'მომწოდებლის ფორმა'!$Z17=""),"",MAX(('მომწოდებლის ფორმა'!F17+$B$33+IF('მომწოდებლის ფორმა'!$Q17="",0,30/'მომწოდებლის ფორმა'!$Q17*$B$34))/'მომწოდებლის ფორმა'!$M17,30/'მომწოდებლის ფორმა'!$P17)*'მომწოდებლის ფორმა'!$Z17/'მომწოდებლის ფორმა'!F17+IF(OR('მომწოდებლის ფორმა'!$R17="",N('მომწოდებლის ფორმა'!$S17)=0,N('მომწოდებლის ფორმა'!$T17)=0),0,'მომწოდებლის ფორმა'!$S17*'მომწოდებლის ფორმა'!$AB17*30/'მომწოდებლის ფორმა'!$T17/SUMIF('მომწოდებლის ფორმა'!$R$4:$R$27,'მომწოდებლის ფორმა'!$R17,'მომწოდებლის ფორმა'!F$4:F$27))+IF(OR('მომწოდებლის ფორმა'!$U17="",N('მომწოდებლის ფორმა'!$V17)=0,N('მომწოდებლის ფორმა'!$W17)=0),0,'მომწოდებლის ფორმა'!$V17*'მომწოდებლის ფორმა'!$AB17*30/'მომწოდებლის ფორმა'!$W17/SUMIF('მომწოდებლის ფორმა'!$U$4:$U$27,'მომწოდებლის ფორმა'!$U17,'მომწოდებლის ფორმა'!F$4:F$27))+N('მომწოდებლის ფორმა'!$X17)*'მომწოდებლის ფორმა'!$AB17)</f>
        <v/>
      </c>
      <c r="G17" s="21" t="str">
        <f>IF(OR(N('მომწოდებლის ფორმა'!G17)&lt;=0,'მომწოდებლის ფორმა'!$M17="",'მომწოდებლის ფორმა'!$P17="",'მომწოდებლის ფორმა'!$Z17=""),"",MAX(('მომწოდებლის ფორმა'!G17+$B$33+IF('მომწოდებლის ფორმა'!$Q17="",0,30/'მომწოდებლის ფორმა'!$Q17*$B$34))/'მომწოდებლის ფორმა'!$M17,30/'მომწოდებლის ფორმა'!$P17)*'მომწოდებლის ფორმა'!$Z17/'მომწოდებლის ფორმა'!G17+IF(OR('მომწოდებლის ფორმა'!$R17="",N('მომწოდებლის ფორმა'!$S17)=0,N('მომწოდებლის ფორმა'!$T17)=0),0,'მომწოდებლის ფორმა'!$S17*'მომწოდებლის ფორმა'!$AB17*30/'მომწოდებლის ფორმა'!$T17/SUMIF('მომწოდებლის ფორმა'!$R$4:$R$27,'მომწოდებლის ფორმა'!$R17,'მომწოდებლის ფორმა'!G$4:G$27))+IF(OR('მომწოდებლის ფორმა'!$U17="",N('მომწოდებლის ფორმა'!$V17)=0,N('მომწოდებლის ფორმა'!$W17)=0),0,'მომწოდებლის ფორმა'!$V17*'მომწოდებლის ფორმა'!$AB17*30/'მომწოდებლის ფორმა'!$W17/SUMIF('მომწოდებლის ფორმა'!$U$4:$U$27,'მომწოდებლის ფორმა'!$U17,'მომწოდებლის ფორმა'!G$4:G$27))+N('მომწოდებლის ფორმა'!$X17)*'მომწოდებლის ფორმა'!$AB17)</f>
        <v/>
      </c>
      <c r="H17" s="21" t="str">
        <f>IF(OR(N('მომწოდებლის ფორმა'!H17)&lt;=0,'მომწოდებლის ფორმა'!$M17="",'მომწოდებლის ფორმა'!$P17="",'მომწოდებლის ფორმა'!$Z17=""),"",MAX(('მომწოდებლის ფორმა'!H17+$B$33+IF('მომწოდებლის ფორმა'!$Q17="",0,30/'მომწოდებლის ფორმა'!$Q17*$B$34))/'მომწოდებლის ფორმა'!$M17,30/'მომწოდებლის ფორმა'!$P17)*'მომწოდებლის ფორმა'!$Z17/'მომწოდებლის ფორმა'!H17+IF(OR('მომწოდებლის ფორმა'!$R17="",N('მომწოდებლის ფორმა'!$S17)=0,N('მომწოდებლის ფორმა'!$T17)=0),0,'მომწოდებლის ფორმა'!$S17*'მომწოდებლის ფორმა'!$AB17*30/'მომწოდებლის ფორმა'!$T17/SUMIF('მომწოდებლის ფორმა'!$R$4:$R$27,'მომწოდებლის ფორმა'!$R17,'მომწოდებლის ფორმა'!H$4:H$27))+IF(OR('მომწოდებლის ფორმა'!$U17="",N('მომწოდებლის ფორმა'!$V17)=0,N('მომწოდებლის ფორმა'!$W17)=0),0,'მომწოდებლის ფორმა'!$V17*'მომწოდებლის ფორმა'!$AB17*30/'მომწოდებლის ფორმა'!$W17/SUMIF('მომწოდებლის ფორმა'!$U$4:$U$27,'მომწოდებლის ფორმა'!$U17,'მომწოდებლის ფორმა'!H$4:H$27))+N('მომწოდებლის ფორმა'!$X17)*'მომწოდებლის ფორმა'!$AB17)</f>
        <v/>
      </c>
      <c r="I17" s="21" t="str">
        <f>IF(OR(N('მომწოდებლის ფორმა'!I17)&lt;=0,'მომწოდებლის ფორმა'!$M17="",'მომწოდებლის ფორმა'!$P17="",'მომწოდებლის ფორმა'!$Z17=""),"",MAX(('მომწოდებლის ფორმა'!I17+$B$33+IF('მომწოდებლის ფორმა'!$Q17="",0,30/'მომწოდებლის ფორმა'!$Q17*$B$34))/'მომწოდებლის ფორმა'!$M17,30/'მომწოდებლის ფორმა'!$P17)*'მომწოდებლის ფორმა'!$Z17/'მომწოდებლის ფორმა'!I17+IF(OR('მომწოდებლის ფორმა'!$R17="",N('მომწოდებლის ფორმა'!$S17)=0,N('მომწოდებლის ფორმა'!$T17)=0),0,'მომწოდებლის ფორმა'!$S17*'მომწოდებლის ფორმა'!$AB17*30/'მომწოდებლის ფორმა'!$T17/SUMIF('მომწოდებლის ფორმა'!$R$4:$R$27,'მომწოდებლის ფორმა'!$R17,'მომწოდებლის ფორმა'!I$4:I$27))+IF(OR('მომწოდებლის ფორმა'!$U17="",N('მომწოდებლის ფორმა'!$V17)=0,N('მომწოდებლის ფორმა'!$W17)=0),0,'მომწოდებლის ფორმა'!$V17*'მომწოდებლის ფორმა'!$AB17*30/'მომწოდებლის ფორმა'!$W17/SUMIF('მომწოდებლის ფორმა'!$U$4:$U$27,'მომწოდებლის ფორმა'!$U17,'მომწოდებლის ფორმა'!I$4:I$27))+N('მომწოდებლის ფორმა'!$X17)*'მომწოდებლის ფორმა'!$AB17)</f>
        <v/>
      </c>
    </row>
    <row r="18" spans="1:9" ht="28.5" customHeight="1" x14ac:dyDescent="0.3">
      <c r="A18" s="31" t="str">
        <f>'მომწოდებლის ფორმა'!A18</f>
        <v>მაღალი სიმკვრივის ლიპოპროტეინ ქოლესტეროლი HDL-C G1</v>
      </c>
      <c r="B18" s="21" t="str">
        <f>IF(OR(N('მომწოდებლის ფორმა'!B18)&lt;=0,'მომწოდებლის ფორმა'!$M18="",'მომწოდებლის ფორმა'!$P18="",'მომწოდებლის ფორმა'!$Z18=""),"",MAX(('მომწოდებლის ფორმა'!B18+$B$33+IF('მომწოდებლის ფორმა'!$Q18="",0,30/'მომწოდებლის ფორმა'!$Q18*$B$34))/'მომწოდებლის ფორმა'!$M18,30/'მომწოდებლის ფორმა'!$P18)*'მომწოდებლის ფორმა'!$Z18/'მომწოდებლის ფორმა'!B18+IF(OR('მომწოდებლის ფორმა'!$R18="",N('მომწოდებლის ფორმა'!$S18)=0,N('მომწოდებლის ფორმა'!$T18)=0),0,'მომწოდებლის ფორმა'!$S18*'მომწოდებლის ფორმა'!$AB18*30/'მომწოდებლის ფორმა'!$T18/SUMIF('მომწოდებლის ფორმა'!$R$4:$R$27,'მომწოდებლის ფორმა'!$R18,'მომწოდებლის ფორმა'!B$4:B$27))+IF(OR('მომწოდებლის ფორმა'!$U18="",N('მომწოდებლის ფორმა'!$V18)=0,N('მომწოდებლის ფორმა'!$W18)=0),0,'მომწოდებლის ფორმა'!$V18*'მომწოდებლის ფორმა'!$AB18*30/'მომწოდებლის ფორმა'!$W18/SUMIF('მომწოდებლის ფორმა'!$U$4:$U$27,'მომწოდებლის ფორმა'!$U18,'მომწოდებლის ფორმა'!B$4:B$27))+N('მომწოდებლის ფორმა'!$X18)*'მომწოდებლის ფორმა'!$AB18)</f>
        <v/>
      </c>
      <c r="C18" s="21" t="str">
        <f>IF(OR(N('მომწოდებლის ფორმა'!C18)&lt;=0,'მომწოდებლის ფორმა'!$M18="",'მომწოდებლის ფორმა'!$P18="",'მომწოდებლის ფორმა'!$Z18=""),"",MAX(('მომწოდებლის ფორმა'!C18+$B$33+IF('მომწოდებლის ფორმა'!$Q18="",0,30/'მომწოდებლის ფორმა'!$Q18*$B$34))/'მომწოდებლის ფორმა'!$M18,30/'მომწოდებლის ფორმა'!$P18)*'მომწოდებლის ფორმა'!$Z18/'მომწოდებლის ფორმა'!C18+IF(OR('მომწოდებლის ფორმა'!$R18="",N('მომწოდებლის ფორმა'!$S18)=0,N('მომწოდებლის ფორმა'!$T18)=0),0,'მომწოდებლის ფორმა'!$S18*'მომწოდებლის ფორმა'!$AB18*30/'მომწოდებლის ფორმა'!$T18/SUMIF('მომწოდებლის ფორმა'!$R$4:$R$27,'მომწოდებლის ფორმა'!$R18,'მომწოდებლის ფორმა'!C$4:C$27))+IF(OR('მომწოდებლის ფორმა'!$U18="",N('მომწოდებლის ფორმა'!$V18)=0,N('მომწოდებლის ფორმა'!$W18)=0),0,'მომწოდებლის ფორმა'!$V18*'მომწოდებლის ფორმა'!$AB18*30/'მომწოდებლის ფორმა'!$W18/SUMIF('მომწოდებლის ფორმა'!$U$4:$U$27,'მომწოდებლის ფორმა'!$U18,'მომწოდებლის ფორმა'!C$4:C$27))+N('მომწოდებლის ფორმა'!$X18)*'მომწოდებლის ფორმა'!$AB18)</f>
        <v/>
      </c>
      <c r="D18" s="21" t="str">
        <f>IF(OR(N('მომწოდებლის ფორმა'!D18)&lt;=0,'მომწოდებლის ფორმა'!$M18="",'მომწოდებლის ფორმა'!$P18="",'მომწოდებლის ფორმა'!$Z18=""),"",MAX(('მომწოდებლის ფორმა'!D18+$B$33+IF('მომწოდებლის ფორმა'!$Q18="",0,30/'მომწოდებლის ფორმა'!$Q18*$B$34))/'მომწოდებლის ფორმა'!$M18,30/'მომწოდებლის ფორმა'!$P18)*'მომწოდებლის ფორმა'!$Z18/'მომწოდებლის ფორმა'!D18+IF(OR('მომწოდებლის ფორმა'!$R18="",N('მომწოდებლის ფორმა'!$S18)=0,N('მომწოდებლის ფორმა'!$T18)=0),0,'მომწოდებლის ფორმა'!$S18*'მომწოდებლის ფორმა'!$AB18*30/'მომწოდებლის ფორმა'!$T18/SUMIF('მომწოდებლის ფორმა'!$R$4:$R$27,'მომწოდებლის ფორმა'!$R18,'მომწოდებლის ფორმა'!D$4:D$27))+IF(OR('მომწოდებლის ფორმა'!$U18="",N('მომწოდებლის ფორმა'!$V18)=0,N('მომწოდებლის ფორმა'!$W18)=0),0,'მომწოდებლის ფორმა'!$V18*'მომწოდებლის ფორმა'!$AB18*30/'მომწოდებლის ფორმა'!$W18/SUMIF('მომწოდებლის ფორმა'!$U$4:$U$27,'მომწოდებლის ფორმა'!$U18,'მომწოდებლის ფორმა'!D$4:D$27))+N('მომწოდებლის ფორმა'!$X18)*'მომწოდებლის ფორმა'!$AB18)</f>
        <v/>
      </c>
      <c r="E18" s="21" t="str">
        <f>IF(OR(N('მომწოდებლის ფორმა'!E18)&lt;=0,'მომწოდებლის ფორმა'!$M18="",'მომწოდებლის ფორმა'!$P18="",'მომწოდებლის ფორმა'!$Z18=""),"",MAX(('მომწოდებლის ფორმა'!E18+$B$33+IF('მომწოდებლის ფორმა'!$Q18="",0,30/'მომწოდებლის ფორმა'!$Q18*$B$34))/'მომწოდებლის ფორმა'!$M18,30/'მომწოდებლის ფორმა'!$P18)*'მომწოდებლის ფორმა'!$Z18/'მომწოდებლის ფორმა'!E18+IF(OR('მომწოდებლის ფორმა'!$R18="",N('მომწოდებლის ფორმა'!$S18)=0,N('მომწოდებლის ფორმა'!$T18)=0),0,'მომწოდებლის ფორმა'!$S18*'მომწოდებლის ფორმა'!$AB18*30/'მომწოდებლის ფორმა'!$T18/SUMIF('მომწოდებლის ფორმა'!$R$4:$R$27,'მომწოდებლის ფორმა'!$R18,'მომწოდებლის ფორმა'!E$4:E$27))+IF(OR('მომწოდებლის ფორმა'!$U18="",N('მომწოდებლის ფორმა'!$V18)=0,N('მომწოდებლის ფორმა'!$W18)=0),0,'მომწოდებლის ფორმა'!$V18*'მომწოდებლის ფორმა'!$AB18*30/'მომწოდებლის ფორმა'!$W18/SUMIF('მომწოდებლის ფორმა'!$U$4:$U$27,'მომწოდებლის ფორმა'!$U18,'მომწოდებლის ფორმა'!E$4:E$27))+N('მომწოდებლის ფორმა'!$X18)*'მომწოდებლის ფორმა'!$AB18)</f>
        <v/>
      </c>
      <c r="F18" s="21" t="str">
        <f>IF(OR(N('მომწოდებლის ფორმა'!F18)&lt;=0,'მომწოდებლის ფორმა'!$M18="",'მომწოდებლის ფორმა'!$P18="",'მომწოდებლის ფორმა'!$Z18=""),"",MAX(('მომწოდებლის ფორმა'!F18+$B$33+IF('მომწოდებლის ფორმა'!$Q18="",0,30/'მომწოდებლის ფორმა'!$Q18*$B$34))/'მომწოდებლის ფორმა'!$M18,30/'მომწოდებლის ფორმა'!$P18)*'მომწოდებლის ფორმა'!$Z18/'მომწოდებლის ფორმა'!F18+IF(OR('მომწოდებლის ფორმა'!$R18="",N('მომწოდებლის ფორმა'!$S18)=0,N('მომწოდებლის ფორმა'!$T18)=0),0,'მომწოდებლის ფორმა'!$S18*'მომწოდებლის ფორმა'!$AB18*30/'მომწოდებლის ფორმა'!$T18/SUMIF('მომწოდებლის ფორმა'!$R$4:$R$27,'მომწოდებლის ფორმა'!$R18,'მომწოდებლის ფორმა'!F$4:F$27))+IF(OR('მომწოდებლის ფორმა'!$U18="",N('მომწოდებლის ფორმა'!$V18)=0,N('მომწოდებლის ფორმა'!$W18)=0),0,'მომწოდებლის ფორმა'!$V18*'მომწოდებლის ფორმა'!$AB18*30/'მომწოდებლის ფორმა'!$W18/SUMIF('მომწოდებლის ფორმა'!$U$4:$U$27,'მომწოდებლის ფორმა'!$U18,'მომწოდებლის ფორმა'!F$4:F$27))+N('მომწოდებლის ფორმა'!$X18)*'მომწოდებლის ფორმა'!$AB18)</f>
        <v/>
      </c>
      <c r="G18" s="21" t="str">
        <f>IF(OR(N('მომწოდებლის ფორმა'!G18)&lt;=0,'მომწოდებლის ფორმა'!$M18="",'მომწოდებლის ფორმა'!$P18="",'მომწოდებლის ფორმა'!$Z18=""),"",MAX(('მომწოდებლის ფორმა'!G18+$B$33+IF('მომწოდებლის ფორმა'!$Q18="",0,30/'მომწოდებლის ფორმა'!$Q18*$B$34))/'მომწოდებლის ფორმა'!$M18,30/'მომწოდებლის ფორმა'!$P18)*'მომწოდებლის ფორმა'!$Z18/'მომწოდებლის ფორმა'!G18+IF(OR('მომწოდებლის ფორმა'!$R18="",N('მომწოდებლის ფორმა'!$S18)=0,N('მომწოდებლის ფორმა'!$T18)=0),0,'მომწოდებლის ფორმა'!$S18*'მომწოდებლის ფორმა'!$AB18*30/'მომწოდებლის ფორმა'!$T18/SUMIF('მომწოდებლის ფორმა'!$R$4:$R$27,'მომწოდებლის ფორმა'!$R18,'მომწოდებლის ფორმა'!G$4:G$27))+IF(OR('მომწოდებლის ფორმა'!$U18="",N('მომწოდებლის ფორმა'!$V18)=0,N('მომწოდებლის ფორმა'!$W18)=0),0,'მომწოდებლის ფორმა'!$V18*'მომწოდებლის ფორმა'!$AB18*30/'მომწოდებლის ფორმა'!$W18/SUMIF('მომწოდებლის ფორმა'!$U$4:$U$27,'მომწოდებლის ფორმა'!$U18,'მომწოდებლის ფორმა'!G$4:G$27))+N('მომწოდებლის ფორმა'!$X18)*'მომწოდებლის ფორმა'!$AB18)</f>
        <v/>
      </c>
      <c r="H18" s="21" t="str">
        <f>IF(OR(N('მომწოდებლის ფორმა'!H18)&lt;=0,'მომწოდებლის ფორმა'!$M18="",'მომწოდებლის ფორმა'!$P18="",'მომწოდებლის ფორმა'!$Z18=""),"",MAX(('მომწოდებლის ფორმა'!H18+$B$33+IF('მომწოდებლის ფორმა'!$Q18="",0,30/'მომწოდებლის ფორმა'!$Q18*$B$34))/'მომწოდებლის ფორმა'!$M18,30/'მომწოდებლის ფორმა'!$P18)*'მომწოდებლის ფორმა'!$Z18/'მომწოდებლის ფორმა'!H18+IF(OR('მომწოდებლის ფორმა'!$R18="",N('მომწოდებლის ფორმა'!$S18)=0,N('მომწოდებლის ფორმა'!$T18)=0),0,'მომწოდებლის ფორმა'!$S18*'მომწოდებლის ფორმა'!$AB18*30/'მომწოდებლის ფორმა'!$T18/SUMIF('მომწოდებლის ფორმა'!$R$4:$R$27,'მომწოდებლის ფორმა'!$R18,'მომწოდებლის ფორმა'!H$4:H$27))+IF(OR('მომწოდებლის ფორმა'!$U18="",N('მომწოდებლის ფორმა'!$V18)=0,N('მომწოდებლის ფორმა'!$W18)=0),0,'მომწოდებლის ფორმა'!$V18*'მომწოდებლის ფორმა'!$AB18*30/'მომწოდებლის ფორმა'!$W18/SUMIF('მომწოდებლის ფორმა'!$U$4:$U$27,'მომწოდებლის ფორმა'!$U18,'მომწოდებლის ფორმა'!H$4:H$27))+N('მომწოდებლის ფორმა'!$X18)*'მომწოდებლის ფორმა'!$AB18)</f>
        <v/>
      </c>
      <c r="I18" s="21" t="str">
        <f>IF(OR(N('მომწოდებლის ფორმა'!I18)&lt;=0,'მომწოდებლის ფორმა'!$M18="",'მომწოდებლის ფორმა'!$P18="",'მომწოდებლის ფორმა'!$Z18=""),"",MAX(('მომწოდებლის ფორმა'!I18+$B$33+IF('მომწოდებლის ფორმა'!$Q18="",0,30/'მომწოდებლის ფორმა'!$Q18*$B$34))/'მომწოდებლის ფორმა'!$M18,30/'მომწოდებლის ფორმა'!$P18)*'მომწოდებლის ფორმა'!$Z18/'მომწოდებლის ფორმა'!I18+IF(OR('მომწოდებლის ფორმა'!$R18="",N('მომწოდებლის ფორმა'!$S18)=0,N('მომწოდებლის ფორმა'!$T18)=0),0,'მომწოდებლის ფორმა'!$S18*'მომწოდებლის ფორმა'!$AB18*30/'მომწოდებლის ფორმა'!$T18/SUMIF('მომწოდებლის ფორმა'!$R$4:$R$27,'მომწოდებლის ფორმა'!$R18,'მომწოდებლის ფორმა'!I$4:I$27))+IF(OR('მომწოდებლის ფორმა'!$U18="",N('მომწოდებლის ფორმა'!$V18)=0,N('მომწოდებლის ფორმა'!$W18)=0),0,'მომწოდებლის ფორმა'!$V18*'მომწოდებლის ფორმა'!$AB18*30/'მომწოდებლის ფორმა'!$W18/SUMIF('მომწოდებლის ფორმა'!$U$4:$U$27,'მომწოდებლის ფორმა'!$U18,'მომწოდებლის ფორმა'!I$4:I$27))+N('მომწოდებლის ფორმა'!$X18)*'მომწოდებლის ფორმა'!$AB18)</f>
        <v/>
      </c>
    </row>
    <row r="19" spans="1:9" ht="28.5" customHeight="1" x14ac:dyDescent="0.3">
      <c r="A19" s="31" t="str">
        <f>'მომწოდებლის ფორმა'!A19</f>
        <v>დაბალი სიმკვრივის ლიპოპროტეინ ქოლესტეროლი LDL-C G1</v>
      </c>
      <c r="B19" s="21" t="str">
        <f>IF(OR(N('მომწოდებლის ფორმა'!B19)&lt;=0,'მომწოდებლის ფორმა'!$M19="",'მომწოდებლის ფორმა'!$P19="",'მომწოდებლის ფორმა'!$Z19=""),"",MAX(('მომწოდებლის ფორმა'!B19+$B$33+IF('მომწოდებლის ფორმა'!$Q19="",0,30/'მომწოდებლის ფორმა'!$Q19*$B$34))/'მომწოდებლის ფორმა'!$M19,30/'მომწოდებლის ფორმა'!$P19)*'მომწოდებლის ფორმა'!$Z19/'მომწოდებლის ფორმა'!B19+IF(OR('მომწოდებლის ფორმა'!$R19="",N('მომწოდებლის ფორმა'!$S19)=0,N('მომწოდებლის ფორმა'!$T19)=0),0,'მომწოდებლის ფორმა'!$S19*'მომწოდებლის ფორმა'!$AB19*30/'მომწოდებლის ფორმა'!$T19/SUMIF('მომწოდებლის ფორმა'!$R$4:$R$27,'მომწოდებლის ფორმა'!$R19,'მომწოდებლის ფორმა'!B$4:B$27))+IF(OR('მომწოდებლის ფორმა'!$U19="",N('მომწოდებლის ფორმა'!$V19)=0,N('მომწოდებლის ფორმა'!$W19)=0),0,'მომწოდებლის ფორმა'!$V19*'მომწოდებლის ფორმა'!$AB19*30/'მომწოდებლის ფორმა'!$W19/SUMIF('მომწოდებლის ფორმა'!$U$4:$U$27,'მომწოდებლის ფორმა'!$U19,'მომწოდებლის ფორმა'!B$4:B$27))+N('მომწოდებლის ფორმა'!$X19)*'მომწოდებლის ფორმა'!$AB19)</f>
        <v/>
      </c>
      <c r="C19" s="21" t="str">
        <f>IF(OR(N('მომწოდებლის ფორმა'!C19)&lt;=0,'მომწოდებლის ფორმა'!$M19="",'მომწოდებლის ფორმა'!$P19="",'მომწოდებლის ფორმა'!$Z19=""),"",MAX(('მომწოდებლის ფორმა'!C19+$B$33+IF('მომწოდებლის ფორმა'!$Q19="",0,30/'მომწოდებლის ფორმა'!$Q19*$B$34))/'მომწოდებლის ფორმა'!$M19,30/'მომწოდებლის ფორმა'!$P19)*'მომწოდებლის ფორმა'!$Z19/'მომწოდებლის ფორმა'!C19+IF(OR('მომწოდებლის ფორმა'!$R19="",N('მომწოდებლის ფორმა'!$S19)=0,N('მომწოდებლის ფორმა'!$T19)=0),0,'მომწოდებლის ფორმა'!$S19*'მომწოდებლის ფორმა'!$AB19*30/'მომწოდებლის ფორმა'!$T19/SUMIF('მომწოდებლის ფორმა'!$R$4:$R$27,'მომწოდებლის ფორმა'!$R19,'მომწოდებლის ფორმა'!C$4:C$27))+IF(OR('მომწოდებლის ფორმა'!$U19="",N('მომწოდებლის ფორმა'!$V19)=0,N('მომწოდებლის ფორმა'!$W19)=0),0,'მომწოდებლის ფორმა'!$V19*'მომწოდებლის ფორმა'!$AB19*30/'მომწოდებლის ფორმა'!$W19/SUMIF('მომწოდებლის ფორმა'!$U$4:$U$27,'მომწოდებლის ფორმა'!$U19,'მომწოდებლის ფორმა'!C$4:C$27))+N('მომწოდებლის ფორმა'!$X19)*'მომწოდებლის ფორმა'!$AB19)</f>
        <v/>
      </c>
      <c r="D19" s="21" t="str">
        <f>IF(OR(N('მომწოდებლის ფორმა'!D19)&lt;=0,'მომწოდებლის ფორმა'!$M19="",'მომწოდებლის ფორმა'!$P19="",'მომწოდებლის ფორმა'!$Z19=""),"",MAX(('მომწოდებლის ფორმა'!D19+$B$33+IF('მომწოდებლის ფორმა'!$Q19="",0,30/'მომწოდებლის ფორმა'!$Q19*$B$34))/'მომწოდებლის ფორმა'!$M19,30/'მომწოდებლის ფორმა'!$P19)*'მომწოდებლის ფორმა'!$Z19/'მომწოდებლის ფორმა'!D19+IF(OR('მომწოდებლის ფორმა'!$R19="",N('მომწოდებლის ფორმა'!$S19)=0,N('მომწოდებლის ფორმა'!$T19)=0),0,'მომწოდებლის ფორმა'!$S19*'მომწოდებლის ფორმა'!$AB19*30/'მომწოდებლის ფორმა'!$T19/SUMIF('მომწოდებლის ფორმა'!$R$4:$R$27,'მომწოდებლის ფორმა'!$R19,'მომწოდებლის ფორმა'!D$4:D$27))+IF(OR('მომწოდებლის ფორმა'!$U19="",N('მომწოდებლის ფორმა'!$V19)=0,N('მომწოდებლის ფორმა'!$W19)=0),0,'მომწოდებლის ფორმა'!$V19*'მომწოდებლის ფორმა'!$AB19*30/'მომწოდებლის ფორმა'!$W19/SUMIF('მომწოდებლის ფორმა'!$U$4:$U$27,'მომწოდებლის ფორმა'!$U19,'მომწოდებლის ფორმა'!D$4:D$27))+N('მომწოდებლის ფორმა'!$X19)*'მომწოდებლის ფორმა'!$AB19)</f>
        <v/>
      </c>
      <c r="E19" s="21" t="str">
        <f>IF(OR(N('მომწოდებლის ფორმა'!E19)&lt;=0,'მომწოდებლის ფორმა'!$M19="",'მომწოდებლის ფორმა'!$P19="",'მომწოდებლის ფორმა'!$Z19=""),"",MAX(('მომწოდებლის ფორმა'!E19+$B$33+IF('მომწოდებლის ფორმა'!$Q19="",0,30/'მომწოდებლის ფორმა'!$Q19*$B$34))/'მომწოდებლის ფორმა'!$M19,30/'მომწოდებლის ფორმა'!$P19)*'მომწოდებლის ფორმა'!$Z19/'მომწოდებლის ფორმა'!E19+IF(OR('მომწოდებლის ფორმა'!$R19="",N('მომწოდებლის ფორმა'!$S19)=0,N('მომწოდებლის ფორმა'!$T19)=0),0,'მომწოდებლის ფორმა'!$S19*'მომწოდებლის ფორმა'!$AB19*30/'მომწოდებლის ფორმა'!$T19/SUMIF('მომწოდებლის ფორმა'!$R$4:$R$27,'მომწოდებლის ფორმა'!$R19,'მომწოდებლის ფორმა'!E$4:E$27))+IF(OR('მომწოდებლის ფორმა'!$U19="",N('მომწოდებლის ფორმა'!$V19)=0,N('მომწოდებლის ფორმა'!$W19)=0),0,'მომწოდებლის ფორმა'!$V19*'მომწოდებლის ფორმა'!$AB19*30/'მომწოდებლის ფორმა'!$W19/SUMIF('მომწოდებლის ფორმა'!$U$4:$U$27,'მომწოდებლის ფორმა'!$U19,'მომწოდებლის ფორმა'!E$4:E$27))+N('მომწოდებლის ფორმა'!$X19)*'მომწოდებლის ფორმა'!$AB19)</f>
        <v/>
      </c>
      <c r="F19" s="21" t="str">
        <f>IF(OR(N('მომწოდებლის ფორმა'!F19)&lt;=0,'მომწოდებლის ფორმა'!$M19="",'მომწოდებლის ფორმა'!$P19="",'მომწოდებლის ფორმა'!$Z19=""),"",MAX(('მომწოდებლის ფორმა'!F19+$B$33+IF('მომწოდებლის ფორმა'!$Q19="",0,30/'მომწოდებლის ფორმა'!$Q19*$B$34))/'მომწოდებლის ფორმა'!$M19,30/'მომწოდებლის ფორმა'!$P19)*'მომწოდებლის ფორმა'!$Z19/'მომწოდებლის ფორმა'!F19+IF(OR('მომწოდებლის ფორმა'!$R19="",N('მომწოდებლის ფორმა'!$S19)=0,N('მომწოდებლის ფორმა'!$T19)=0),0,'მომწოდებლის ფორმა'!$S19*'მომწოდებლის ფორმა'!$AB19*30/'მომწოდებლის ფორმა'!$T19/SUMIF('მომწოდებლის ფორმა'!$R$4:$R$27,'მომწოდებლის ფორმა'!$R19,'მომწოდებლის ფორმა'!F$4:F$27))+IF(OR('მომწოდებლის ფორმა'!$U19="",N('მომწოდებლის ფორმა'!$V19)=0,N('მომწოდებლის ფორმა'!$W19)=0),0,'მომწოდებლის ფორმა'!$V19*'მომწოდებლის ფორმა'!$AB19*30/'მომწოდებლის ფორმა'!$W19/SUMIF('მომწოდებლის ფორმა'!$U$4:$U$27,'მომწოდებლის ფორმა'!$U19,'მომწოდებლის ფორმა'!F$4:F$27))+N('მომწოდებლის ფორმა'!$X19)*'მომწოდებლის ფორმა'!$AB19)</f>
        <v/>
      </c>
      <c r="G19" s="21" t="str">
        <f>IF(OR(N('მომწოდებლის ფორმა'!G19)&lt;=0,'მომწოდებლის ფორმა'!$M19="",'მომწოდებლის ფორმა'!$P19="",'მომწოდებლის ფორმა'!$Z19=""),"",MAX(('მომწოდებლის ფორმა'!G19+$B$33+IF('მომწოდებლის ფორმა'!$Q19="",0,30/'მომწოდებლის ფორმა'!$Q19*$B$34))/'მომწოდებლის ფორმა'!$M19,30/'მომწოდებლის ფორმა'!$P19)*'მომწოდებლის ფორმა'!$Z19/'მომწოდებლის ფორმა'!G19+IF(OR('მომწოდებლის ფორმა'!$R19="",N('მომწოდებლის ფორმა'!$S19)=0,N('მომწოდებლის ფორმა'!$T19)=0),0,'მომწოდებლის ფორმა'!$S19*'მომწოდებლის ფორმა'!$AB19*30/'მომწოდებლის ფორმა'!$T19/SUMIF('მომწოდებლის ფორმა'!$R$4:$R$27,'მომწოდებლის ფორმა'!$R19,'მომწოდებლის ფორმა'!G$4:G$27))+IF(OR('მომწოდებლის ფორმა'!$U19="",N('მომწოდებლის ფორმა'!$V19)=0,N('მომწოდებლის ფორმა'!$W19)=0),0,'მომწოდებლის ფორმა'!$V19*'მომწოდებლის ფორმა'!$AB19*30/'მომწოდებლის ფორმა'!$W19/SUMIF('მომწოდებლის ფორმა'!$U$4:$U$27,'მომწოდებლის ფორმა'!$U19,'მომწოდებლის ფორმა'!G$4:G$27))+N('მომწოდებლის ფორმა'!$X19)*'მომწოდებლის ფორმა'!$AB19)</f>
        <v/>
      </c>
      <c r="H19" s="21" t="str">
        <f>IF(OR(N('მომწოდებლის ფორმა'!H19)&lt;=0,'მომწოდებლის ფორმა'!$M19="",'მომწოდებლის ფორმა'!$P19="",'მომწოდებლის ფორმა'!$Z19=""),"",MAX(('მომწოდებლის ფორმა'!H19+$B$33+IF('მომწოდებლის ფორმა'!$Q19="",0,30/'მომწოდებლის ფორმა'!$Q19*$B$34))/'მომწოდებლის ფორმა'!$M19,30/'მომწოდებლის ფორმა'!$P19)*'მომწოდებლის ფორმა'!$Z19/'მომწოდებლის ფორმა'!H19+IF(OR('მომწოდებლის ფორმა'!$R19="",N('მომწოდებლის ფორმა'!$S19)=0,N('მომწოდებლის ფორმა'!$T19)=0),0,'მომწოდებლის ფორმა'!$S19*'მომწოდებლის ფორმა'!$AB19*30/'მომწოდებლის ფორმა'!$T19/SUMIF('მომწოდებლის ფორმა'!$R$4:$R$27,'მომწოდებლის ფორმა'!$R19,'მომწოდებლის ფორმა'!H$4:H$27))+IF(OR('მომწოდებლის ფორმა'!$U19="",N('მომწოდებლის ფორმა'!$V19)=0,N('მომწოდებლის ფორმა'!$W19)=0),0,'მომწოდებლის ფორმა'!$V19*'მომწოდებლის ფორმა'!$AB19*30/'მომწოდებლის ფორმა'!$W19/SUMIF('მომწოდებლის ფორმა'!$U$4:$U$27,'მომწოდებლის ფორმა'!$U19,'მომწოდებლის ფორმა'!H$4:H$27))+N('მომწოდებლის ფორმა'!$X19)*'მომწოდებლის ფორმა'!$AB19)</f>
        <v/>
      </c>
      <c r="I19" s="21" t="str">
        <f>IF(OR(N('მომწოდებლის ფორმა'!I19)&lt;=0,'მომწოდებლის ფორმა'!$M19="",'მომწოდებლის ფორმა'!$P19="",'მომწოდებლის ფორმა'!$Z19=""),"",MAX(('მომწოდებლის ფორმა'!I19+$B$33+IF('მომწოდებლის ფორმა'!$Q19="",0,30/'მომწოდებლის ფორმა'!$Q19*$B$34))/'მომწოდებლის ფორმა'!$M19,30/'მომწოდებლის ფორმა'!$P19)*'მომწოდებლის ფორმა'!$Z19/'მომწოდებლის ფორმა'!I19+IF(OR('მომწოდებლის ფორმა'!$R19="",N('მომწოდებლის ფორმა'!$S19)=0,N('მომწოდებლის ფორმა'!$T19)=0),0,'მომწოდებლის ფორმა'!$S19*'მომწოდებლის ფორმა'!$AB19*30/'მომწოდებლის ფორმა'!$T19/SUMIF('მომწოდებლის ფორმა'!$R$4:$R$27,'მომწოდებლის ფორმა'!$R19,'მომწოდებლის ფორმა'!I$4:I$27))+IF(OR('მომწოდებლის ფორმა'!$U19="",N('მომწოდებლის ფორმა'!$V19)=0,N('მომწოდებლის ფორმა'!$W19)=0),0,'მომწოდებლის ფორმა'!$V19*'მომწოდებლის ფორმა'!$AB19*30/'მომწოდებლის ფორმა'!$W19/SUMIF('მომწოდებლის ფორმა'!$U$4:$U$27,'მომწოდებლის ფორმა'!$U19,'მომწოდებლის ფორმა'!I$4:I$27))+N('მომწოდებლის ფორმა'!$X19)*'მომწოდებლის ფორმა'!$AB19)</f>
        <v/>
      </c>
    </row>
    <row r="20" spans="1:9" x14ac:dyDescent="0.3">
      <c r="A20" s="31" t="str">
        <f>'მომწოდებლის ფორმა'!A20</f>
        <v>ტრიგლიცერიდი TG G1</v>
      </c>
      <c r="B20" s="21" t="str">
        <f>IF(OR(N('მომწოდებლის ფორმა'!B20)&lt;=0,'მომწოდებლის ფორმა'!$M20="",'მომწოდებლის ფორმა'!$P20="",'მომწოდებლის ფორმა'!$Z20=""),"",MAX(('მომწოდებლის ფორმა'!B20+$B$33+IF('მომწოდებლის ფორმა'!$Q20="",0,30/'მომწოდებლის ფორმა'!$Q20*$B$34))/'მომწოდებლის ფორმა'!$M20,30/'მომწოდებლის ფორმა'!$P20)*'მომწოდებლის ფორმა'!$Z20/'მომწოდებლის ფორმა'!B20+IF(OR('მომწოდებლის ფორმა'!$R20="",N('მომწოდებლის ფორმა'!$S20)=0,N('მომწოდებლის ფორმა'!$T20)=0),0,'მომწოდებლის ფორმა'!$S20*'მომწოდებლის ფორმა'!$AB20*30/'მომწოდებლის ფორმა'!$T20/SUMIF('მომწოდებლის ფორმა'!$R$4:$R$27,'მომწოდებლის ფორმა'!$R20,'მომწოდებლის ფორმა'!B$4:B$27))+IF(OR('მომწოდებლის ფორმა'!$U20="",N('მომწოდებლის ფორმა'!$V20)=0,N('მომწოდებლის ფორმა'!$W20)=0),0,'მომწოდებლის ფორმა'!$V20*'მომწოდებლის ფორმა'!$AB20*30/'მომწოდებლის ფორმა'!$W20/SUMIF('მომწოდებლის ფორმა'!$U$4:$U$27,'მომწოდებლის ფორმა'!$U20,'მომწოდებლის ფორმა'!B$4:B$27))+N('მომწოდებლის ფორმა'!$X20)*'მომწოდებლის ფორმა'!$AB20)</f>
        <v/>
      </c>
      <c r="C20" s="21" t="str">
        <f>IF(OR(N('მომწოდებლის ფორმა'!C20)&lt;=0,'მომწოდებლის ფორმა'!$M20="",'მომწოდებლის ფორმა'!$P20="",'მომწოდებლის ფორმა'!$Z20=""),"",MAX(('მომწოდებლის ფორმა'!C20+$B$33+IF('მომწოდებლის ფორმა'!$Q20="",0,30/'მომწოდებლის ფორმა'!$Q20*$B$34))/'მომწოდებლის ფორმა'!$M20,30/'მომწოდებლის ფორმა'!$P20)*'მომწოდებლის ფორმა'!$Z20/'მომწოდებლის ფორმა'!C20+IF(OR('მომწოდებლის ფორმა'!$R20="",N('მომწოდებლის ფორმა'!$S20)=0,N('მომწოდებლის ფორმა'!$T20)=0),0,'მომწოდებლის ფორმა'!$S20*'მომწოდებლის ფორმა'!$AB20*30/'მომწოდებლის ფორმა'!$T20/SUMIF('მომწოდებლის ფორმა'!$R$4:$R$27,'მომწოდებლის ფორმა'!$R20,'მომწოდებლის ფორმა'!C$4:C$27))+IF(OR('მომწოდებლის ფორმა'!$U20="",N('მომწოდებლის ფორმა'!$V20)=0,N('მომწოდებლის ფორმა'!$W20)=0),0,'მომწოდებლის ფორმა'!$V20*'მომწოდებლის ფორმა'!$AB20*30/'მომწოდებლის ფორმა'!$W20/SUMIF('მომწოდებლის ფორმა'!$U$4:$U$27,'მომწოდებლის ფორმა'!$U20,'მომწოდებლის ფორმა'!C$4:C$27))+N('მომწოდებლის ფორმა'!$X20)*'მომწოდებლის ფორმა'!$AB20)</f>
        <v/>
      </c>
      <c r="D20" s="21" t="str">
        <f>IF(OR(N('მომწოდებლის ფორმა'!D20)&lt;=0,'მომწოდებლის ფორმა'!$M20="",'მომწოდებლის ფორმა'!$P20="",'მომწოდებლის ფორმა'!$Z20=""),"",MAX(('მომწოდებლის ფორმა'!D20+$B$33+IF('მომწოდებლის ფორმა'!$Q20="",0,30/'მომწოდებლის ფორმა'!$Q20*$B$34))/'მომწოდებლის ფორმა'!$M20,30/'მომწოდებლის ფორმა'!$P20)*'მომწოდებლის ფორმა'!$Z20/'მომწოდებლის ფორმა'!D20+IF(OR('მომწოდებლის ფორმა'!$R20="",N('მომწოდებლის ფორმა'!$S20)=0,N('მომწოდებლის ფორმა'!$T20)=0),0,'მომწოდებლის ფორმა'!$S20*'მომწოდებლის ფორმა'!$AB20*30/'მომწოდებლის ფორმა'!$T20/SUMIF('მომწოდებლის ფორმა'!$R$4:$R$27,'მომწოდებლის ფორმა'!$R20,'მომწოდებლის ფორმა'!D$4:D$27))+IF(OR('მომწოდებლის ფორმა'!$U20="",N('მომწოდებლის ფორმა'!$V20)=0,N('მომწოდებლის ფორმა'!$W20)=0),0,'მომწოდებლის ფორმა'!$V20*'მომწოდებლის ფორმა'!$AB20*30/'მომწოდებლის ფორმა'!$W20/SUMIF('მომწოდებლის ფორმა'!$U$4:$U$27,'მომწოდებლის ფორმა'!$U20,'მომწოდებლის ფორმა'!D$4:D$27))+N('მომწოდებლის ფორმა'!$X20)*'მომწოდებლის ფორმა'!$AB20)</f>
        <v/>
      </c>
      <c r="E20" s="21" t="str">
        <f>IF(OR(N('მომწოდებლის ფორმა'!E20)&lt;=0,'მომწოდებლის ფორმა'!$M20="",'მომწოდებლის ფორმა'!$P20="",'მომწოდებლის ფორმა'!$Z20=""),"",MAX(('მომწოდებლის ფორმა'!E20+$B$33+IF('მომწოდებლის ფორმა'!$Q20="",0,30/'მომწოდებლის ფორმა'!$Q20*$B$34))/'მომწოდებლის ფორმა'!$M20,30/'მომწოდებლის ფორმა'!$P20)*'მომწოდებლის ფორმა'!$Z20/'მომწოდებლის ფორმა'!E20+IF(OR('მომწოდებლის ფორმა'!$R20="",N('მომწოდებლის ფორმა'!$S20)=0,N('მომწოდებლის ფორმა'!$T20)=0),0,'მომწოდებლის ფორმა'!$S20*'მომწოდებლის ფორმა'!$AB20*30/'მომწოდებლის ფორმა'!$T20/SUMIF('მომწოდებლის ფორმა'!$R$4:$R$27,'მომწოდებლის ფორმა'!$R20,'მომწოდებლის ფორმა'!E$4:E$27))+IF(OR('მომწოდებლის ფორმა'!$U20="",N('მომწოდებლის ფორმა'!$V20)=0,N('მომწოდებლის ფორმა'!$W20)=0),0,'მომწოდებლის ფორმა'!$V20*'მომწოდებლის ფორმა'!$AB20*30/'მომწოდებლის ფორმა'!$W20/SUMIF('მომწოდებლის ფორმა'!$U$4:$U$27,'მომწოდებლის ფორმა'!$U20,'მომწოდებლის ფორმა'!E$4:E$27))+N('მომწოდებლის ფორმა'!$X20)*'მომწოდებლის ფორმა'!$AB20)</f>
        <v/>
      </c>
      <c r="F20" s="21" t="str">
        <f>IF(OR(N('მომწოდებლის ფორმა'!F20)&lt;=0,'მომწოდებლის ფორმა'!$M20="",'მომწოდებლის ფორმა'!$P20="",'მომწოდებლის ფორმა'!$Z20=""),"",MAX(('მომწოდებლის ფორმა'!F20+$B$33+IF('მომწოდებლის ფორმა'!$Q20="",0,30/'მომწოდებლის ფორმა'!$Q20*$B$34))/'მომწოდებლის ფორმა'!$M20,30/'მომწოდებლის ფორმა'!$P20)*'მომწოდებლის ფორმა'!$Z20/'მომწოდებლის ფორმა'!F20+IF(OR('მომწოდებლის ფორმა'!$R20="",N('მომწოდებლის ფორმა'!$S20)=0,N('მომწოდებლის ფორმა'!$T20)=0),0,'მომწოდებლის ფორმა'!$S20*'მომწოდებლის ფორმა'!$AB20*30/'მომწოდებლის ფორმა'!$T20/SUMIF('მომწოდებლის ფორმა'!$R$4:$R$27,'მომწოდებლის ფორმა'!$R20,'მომწოდებლის ფორმა'!F$4:F$27))+IF(OR('მომწოდებლის ფორმა'!$U20="",N('მომწოდებლის ფორმა'!$V20)=0,N('მომწოდებლის ფორმა'!$W20)=0),0,'მომწოდებლის ფორმა'!$V20*'მომწოდებლის ფორმა'!$AB20*30/'მომწოდებლის ფორმა'!$W20/SUMIF('მომწოდებლის ფორმა'!$U$4:$U$27,'მომწოდებლის ფორმა'!$U20,'მომწოდებლის ფორმა'!F$4:F$27))+N('მომწოდებლის ფორმა'!$X20)*'მომწოდებლის ფორმა'!$AB20)</f>
        <v/>
      </c>
      <c r="G20" s="21" t="str">
        <f>IF(OR(N('მომწოდებლის ფორმა'!G20)&lt;=0,'მომწოდებლის ფორმა'!$M20="",'მომწოდებლის ფორმა'!$P20="",'მომწოდებლის ფორმა'!$Z20=""),"",MAX(('მომწოდებლის ფორმა'!G20+$B$33+IF('მომწოდებლის ფორმა'!$Q20="",0,30/'მომწოდებლის ფორმა'!$Q20*$B$34))/'მომწოდებლის ფორმა'!$M20,30/'მომწოდებლის ფორმა'!$P20)*'მომწოდებლის ფორმა'!$Z20/'მომწოდებლის ფორმა'!G20+IF(OR('მომწოდებლის ფორმა'!$R20="",N('მომწოდებლის ფორმა'!$S20)=0,N('მომწოდებლის ფორმა'!$T20)=0),0,'მომწოდებლის ფორმა'!$S20*'მომწოდებლის ფორმა'!$AB20*30/'მომწოდებლის ფორმა'!$T20/SUMIF('მომწოდებლის ფორმა'!$R$4:$R$27,'მომწოდებლის ფორმა'!$R20,'მომწოდებლის ფორმა'!G$4:G$27))+IF(OR('მომწოდებლის ფორმა'!$U20="",N('მომწოდებლის ფორმა'!$V20)=0,N('მომწოდებლის ფორმა'!$W20)=0),0,'მომწოდებლის ფორმა'!$V20*'მომწოდებლის ფორმა'!$AB20*30/'მომწოდებლის ფორმა'!$W20/SUMIF('მომწოდებლის ფორმა'!$U$4:$U$27,'მომწოდებლის ფორმა'!$U20,'მომწოდებლის ფორმა'!G$4:G$27))+N('მომწოდებლის ფორმა'!$X20)*'მომწოდებლის ფორმა'!$AB20)</f>
        <v/>
      </c>
      <c r="H20" s="21" t="str">
        <f>IF(OR(N('მომწოდებლის ფორმა'!H20)&lt;=0,'მომწოდებლის ფორმა'!$M20="",'მომწოდებლის ფორმა'!$P20="",'მომწოდებლის ფორმა'!$Z20=""),"",MAX(('მომწოდებლის ფორმა'!H20+$B$33+IF('მომწოდებლის ფორმა'!$Q20="",0,30/'მომწოდებლის ფორმა'!$Q20*$B$34))/'მომწოდებლის ფორმა'!$M20,30/'მომწოდებლის ფორმა'!$P20)*'მომწოდებლის ფორმა'!$Z20/'მომწოდებლის ფორმა'!H20+IF(OR('მომწოდებლის ფორმა'!$R20="",N('მომწოდებლის ფორმა'!$S20)=0,N('მომწოდებლის ფორმა'!$T20)=0),0,'მომწოდებლის ფორმა'!$S20*'მომწოდებლის ფორმა'!$AB20*30/'მომწოდებლის ფორმა'!$T20/SUMIF('მომწოდებლის ფორმა'!$R$4:$R$27,'მომწოდებლის ფორმა'!$R20,'მომწოდებლის ფორმა'!H$4:H$27))+IF(OR('მომწოდებლის ფორმა'!$U20="",N('მომწოდებლის ფორმა'!$V20)=0,N('მომწოდებლის ფორმა'!$W20)=0),0,'მომწოდებლის ფორმა'!$V20*'მომწოდებლის ფორმა'!$AB20*30/'მომწოდებლის ფორმა'!$W20/SUMIF('მომწოდებლის ფორმა'!$U$4:$U$27,'მომწოდებლის ფორმა'!$U20,'მომწოდებლის ფორმა'!H$4:H$27))+N('მომწოდებლის ფორმა'!$X20)*'მომწოდებლის ფორმა'!$AB20)</f>
        <v/>
      </c>
      <c r="I20" s="21" t="str">
        <f>IF(OR(N('მომწოდებლის ფორმა'!I20)&lt;=0,'მომწოდებლის ფორმა'!$M20="",'მომწოდებლის ფორმა'!$P20="",'მომწოდებლის ფორმა'!$Z20=""),"",MAX(('მომწოდებლის ფორმა'!I20+$B$33+IF('მომწოდებლის ფორმა'!$Q20="",0,30/'მომწოდებლის ფორმა'!$Q20*$B$34))/'მომწოდებლის ფორმა'!$M20,30/'მომწოდებლის ფორმა'!$P20)*'მომწოდებლის ფორმა'!$Z20/'მომწოდებლის ფორმა'!I20+IF(OR('მომწოდებლის ფორმა'!$R20="",N('მომწოდებლის ფორმა'!$S20)=0,N('მომწოდებლის ფორმა'!$T20)=0),0,'მომწოდებლის ფორმა'!$S20*'მომწოდებლის ფორმა'!$AB20*30/'მომწოდებლის ფორმა'!$T20/SUMIF('მომწოდებლის ფორმა'!$R$4:$R$27,'მომწოდებლის ფორმა'!$R20,'მომწოდებლის ფორმა'!I$4:I$27))+IF(OR('მომწოდებლის ფორმა'!$U20="",N('მომწოდებლის ფორმა'!$V20)=0,N('მომწოდებლის ფორმა'!$W20)=0),0,'მომწოდებლის ფორმა'!$V20*'მომწოდებლის ფორმა'!$AB20*30/'მომწოდებლის ფორმა'!$W20/SUMIF('მომწოდებლის ფორმა'!$U$4:$U$27,'მომწოდებლის ფორმა'!$U20,'მომწოდებლის ფორმა'!I$4:I$27))+N('მომწოდებლის ფორმა'!$X20)*'მომწოდებლის ფორმა'!$AB20)</f>
        <v/>
      </c>
    </row>
    <row r="21" spans="1:9" x14ac:dyDescent="0.3">
      <c r="A21" s="31" t="str">
        <f>'მომწოდებლის ფორმა'!A21</f>
        <v>პირდაპირი ბილირუბინი DBIL G1</v>
      </c>
      <c r="B21" s="21" t="str">
        <f>IF(OR(N('მომწოდებლის ფორმა'!B21)&lt;=0,'მომწოდებლის ფორმა'!$M21="",'მომწოდებლის ფორმა'!$P21="",'მომწოდებლის ფორმა'!$Z21=""),"",MAX(('მომწოდებლის ფორმა'!B21+$B$33+IF('მომწოდებლის ფორმა'!$Q21="",0,30/'მომწოდებლის ფორმა'!$Q21*$B$34))/'მომწოდებლის ფორმა'!$M21,30/'მომწოდებლის ფორმა'!$P21)*'მომწოდებლის ფორმა'!$Z21/'მომწოდებლის ფორმა'!B21+IF(OR('მომწოდებლის ფორმა'!$R21="",N('მომწოდებლის ფორმა'!$S21)=0,N('მომწოდებლის ფორმა'!$T21)=0),0,'მომწოდებლის ფორმა'!$S21*'მომწოდებლის ფორმა'!$AB21*30/'მომწოდებლის ფორმა'!$T21/SUMIF('მომწოდებლის ფორმა'!$R$4:$R$27,'მომწოდებლის ფორმა'!$R21,'მომწოდებლის ფორმა'!B$4:B$27))+IF(OR('მომწოდებლის ფორმა'!$U21="",N('მომწოდებლის ფორმა'!$V21)=0,N('მომწოდებლის ფორმა'!$W21)=0),0,'მომწოდებლის ფორმა'!$V21*'მომწოდებლის ფორმა'!$AB21*30/'მომწოდებლის ფორმა'!$W21/SUMIF('მომწოდებლის ფორმა'!$U$4:$U$27,'მომწოდებლის ფორმა'!$U21,'მომწოდებლის ფორმა'!B$4:B$27))+N('მომწოდებლის ფორმა'!$X21)*'მომწოდებლის ფორმა'!$AB21)</f>
        <v/>
      </c>
      <c r="C21" s="21" t="str">
        <f>IF(OR(N('მომწოდებლის ფორმა'!C21)&lt;=0,'მომწოდებლის ფორმა'!$M21="",'მომწოდებლის ფორმა'!$P21="",'მომწოდებლის ფორმა'!$Z21=""),"",MAX(('მომწოდებლის ფორმა'!C21+$B$33+IF('მომწოდებლის ფორმა'!$Q21="",0,30/'მომწოდებლის ფორმა'!$Q21*$B$34))/'მომწოდებლის ფორმა'!$M21,30/'მომწოდებლის ფორმა'!$P21)*'მომწოდებლის ფორმა'!$Z21/'მომწოდებლის ფორმა'!C21+IF(OR('მომწოდებლის ფორმა'!$R21="",N('მომწოდებლის ფორმა'!$S21)=0,N('მომწოდებლის ფორმა'!$T21)=0),0,'მომწოდებლის ფორმა'!$S21*'მომწოდებლის ფორმა'!$AB21*30/'მომწოდებლის ფორმა'!$T21/SUMIF('მომწოდებლის ფორმა'!$R$4:$R$27,'მომწოდებლის ფორმა'!$R21,'მომწოდებლის ფორმა'!C$4:C$27))+IF(OR('მომწოდებლის ფორმა'!$U21="",N('მომწოდებლის ფორმა'!$V21)=0,N('მომწოდებლის ფორმა'!$W21)=0),0,'მომწოდებლის ფორმა'!$V21*'მომწოდებლის ფორმა'!$AB21*30/'მომწოდებლის ფორმა'!$W21/SUMIF('მომწოდებლის ფორმა'!$U$4:$U$27,'მომწოდებლის ფორმა'!$U21,'მომწოდებლის ფორმა'!C$4:C$27))+N('მომწოდებლის ფორმა'!$X21)*'მომწოდებლის ფორმა'!$AB21)</f>
        <v/>
      </c>
      <c r="D21" s="21" t="str">
        <f>IF(OR(N('მომწოდებლის ფორმა'!D21)&lt;=0,'მომწოდებლის ფორმა'!$M21="",'მომწოდებლის ფორმა'!$P21="",'მომწოდებლის ფორმა'!$Z21=""),"",MAX(('მომწოდებლის ფორმა'!D21+$B$33+IF('მომწოდებლის ფორმა'!$Q21="",0,30/'მომწოდებლის ფორმა'!$Q21*$B$34))/'მომწოდებლის ფორმა'!$M21,30/'მომწოდებლის ფორმა'!$P21)*'მომწოდებლის ფორმა'!$Z21/'მომწოდებლის ფორმა'!D21+IF(OR('მომწოდებლის ფორმა'!$R21="",N('მომწოდებლის ფორმა'!$S21)=0,N('მომწოდებლის ფორმა'!$T21)=0),0,'მომწოდებლის ფორმა'!$S21*'მომწოდებლის ფორმა'!$AB21*30/'მომწოდებლის ფორმა'!$T21/SUMIF('მომწოდებლის ფორმა'!$R$4:$R$27,'მომწოდებლის ფორმა'!$R21,'მომწოდებლის ფორმა'!D$4:D$27))+IF(OR('მომწოდებლის ფორმა'!$U21="",N('მომწოდებლის ფორმა'!$V21)=0,N('მომწოდებლის ფორმა'!$W21)=0),0,'მომწოდებლის ფორმა'!$V21*'მომწოდებლის ფორმა'!$AB21*30/'მომწოდებლის ფორმა'!$W21/SUMIF('მომწოდებლის ფორმა'!$U$4:$U$27,'მომწოდებლის ფორმა'!$U21,'მომწოდებლის ფორმა'!D$4:D$27))+N('მომწოდებლის ფორმა'!$X21)*'მომწოდებლის ფორმა'!$AB21)</f>
        <v/>
      </c>
      <c r="E21" s="21" t="str">
        <f>IF(OR(N('მომწოდებლის ფორმა'!E21)&lt;=0,'მომწოდებლის ფორმა'!$M21="",'მომწოდებლის ფორმა'!$P21="",'მომწოდებლის ფორმა'!$Z21=""),"",MAX(('მომწოდებლის ფორმა'!E21+$B$33+IF('მომწოდებლის ფორმა'!$Q21="",0,30/'მომწოდებლის ფორმა'!$Q21*$B$34))/'მომწოდებლის ფორმა'!$M21,30/'მომწოდებლის ფორმა'!$P21)*'მომწოდებლის ფორმა'!$Z21/'მომწოდებლის ფორმა'!E21+IF(OR('მომწოდებლის ფორმა'!$R21="",N('მომწოდებლის ფორმა'!$S21)=0,N('მომწოდებლის ფორმა'!$T21)=0),0,'მომწოდებლის ფორმა'!$S21*'მომწოდებლის ფორმა'!$AB21*30/'მომწოდებლის ფორმა'!$T21/SUMIF('მომწოდებლის ფორმა'!$R$4:$R$27,'მომწოდებლის ფორმა'!$R21,'მომწოდებლის ფორმა'!E$4:E$27))+IF(OR('მომწოდებლის ფორმა'!$U21="",N('მომწოდებლის ფორმა'!$V21)=0,N('მომწოდებლის ფორმა'!$W21)=0),0,'მომწოდებლის ფორმა'!$V21*'მომწოდებლის ფორმა'!$AB21*30/'მომწოდებლის ფორმა'!$W21/SUMIF('მომწოდებლის ფორმა'!$U$4:$U$27,'მომწოდებლის ფორმა'!$U21,'მომწოდებლის ფორმა'!E$4:E$27))+N('მომწოდებლის ფორმა'!$X21)*'მომწოდებლის ფორმა'!$AB21)</f>
        <v/>
      </c>
      <c r="F21" s="21" t="str">
        <f>IF(OR(N('მომწოდებლის ფორმა'!F21)&lt;=0,'მომწოდებლის ფორმა'!$M21="",'მომწოდებლის ფორმა'!$P21="",'მომწოდებლის ფორმა'!$Z21=""),"",MAX(('მომწოდებლის ფორმა'!F21+$B$33+IF('მომწოდებლის ფორმა'!$Q21="",0,30/'მომწოდებლის ფორმა'!$Q21*$B$34))/'მომწოდებლის ფორმა'!$M21,30/'მომწოდებლის ფორმა'!$P21)*'მომწოდებლის ფორმა'!$Z21/'მომწოდებლის ფორმა'!F21+IF(OR('მომწოდებლის ფორმა'!$R21="",N('მომწოდებლის ფორმა'!$S21)=0,N('მომწოდებლის ფორმა'!$T21)=0),0,'მომწოდებლის ფორმა'!$S21*'მომწოდებლის ფორმა'!$AB21*30/'მომწოდებლის ფორმა'!$T21/SUMIF('მომწოდებლის ფორმა'!$R$4:$R$27,'მომწოდებლის ფორმა'!$R21,'მომწოდებლის ფორმა'!F$4:F$27))+IF(OR('მომწოდებლის ფორმა'!$U21="",N('მომწოდებლის ფორმა'!$V21)=0,N('მომწოდებლის ფორმა'!$W21)=0),0,'მომწოდებლის ფორმა'!$V21*'მომწოდებლის ფორმა'!$AB21*30/'მომწოდებლის ფორმა'!$W21/SUMIF('მომწოდებლის ფორმა'!$U$4:$U$27,'მომწოდებლის ფორმა'!$U21,'მომწოდებლის ფორმა'!F$4:F$27))+N('მომწოდებლის ფორმა'!$X21)*'მომწოდებლის ფორმა'!$AB21)</f>
        <v/>
      </c>
      <c r="G21" s="21" t="str">
        <f>IF(OR(N('მომწოდებლის ფორმა'!G21)&lt;=0,'მომწოდებლის ფორმა'!$M21="",'მომწოდებლის ფორმა'!$P21="",'მომწოდებლის ფორმა'!$Z21=""),"",MAX(('მომწოდებლის ფორმა'!G21+$B$33+IF('მომწოდებლის ფორმა'!$Q21="",0,30/'მომწოდებლის ფორმა'!$Q21*$B$34))/'მომწოდებლის ფორმა'!$M21,30/'მომწოდებლის ფორმა'!$P21)*'მომწოდებლის ფორმა'!$Z21/'მომწოდებლის ფორმა'!G21+IF(OR('მომწოდებლის ფორმა'!$R21="",N('მომწოდებლის ფორმა'!$S21)=0,N('მომწოდებლის ფორმა'!$T21)=0),0,'მომწოდებლის ფორმა'!$S21*'მომწოდებლის ფორმა'!$AB21*30/'მომწოდებლის ფორმა'!$T21/SUMIF('მომწოდებლის ფორმა'!$R$4:$R$27,'მომწოდებლის ფორმა'!$R21,'მომწოდებლის ფორმა'!G$4:G$27))+IF(OR('მომწოდებლის ფორმა'!$U21="",N('მომწოდებლის ფორმა'!$V21)=0,N('მომწოდებლის ფორმა'!$W21)=0),0,'მომწოდებლის ფორმა'!$V21*'მომწოდებლის ფორმა'!$AB21*30/'მომწოდებლის ფორმა'!$W21/SUMIF('მომწოდებლის ფორმა'!$U$4:$U$27,'მომწოდებლის ფორმა'!$U21,'მომწოდებლის ფორმა'!G$4:G$27))+N('მომწოდებლის ფორმა'!$X21)*'მომწოდებლის ფორმა'!$AB21)</f>
        <v/>
      </c>
      <c r="H21" s="21" t="str">
        <f>IF(OR(N('მომწოდებლის ფორმა'!H21)&lt;=0,'მომწოდებლის ფორმა'!$M21="",'მომწოდებლის ფორმა'!$P21="",'მომწოდებლის ფორმა'!$Z21=""),"",MAX(('მომწოდებლის ფორმა'!H21+$B$33+IF('მომწოდებლის ფორმა'!$Q21="",0,30/'მომწოდებლის ფორმა'!$Q21*$B$34))/'მომწოდებლის ფორმა'!$M21,30/'მომწოდებლის ფორმა'!$P21)*'მომწოდებლის ფორმა'!$Z21/'მომწოდებლის ფორმა'!H21+IF(OR('მომწოდებლის ფორმა'!$R21="",N('მომწოდებლის ფორმა'!$S21)=0,N('მომწოდებლის ფორმა'!$T21)=0),0,'მომწოდებლის ფორმა'!$S21*'მომწოდებლის ფორმა'!$AB21*30/'მომწოდებლის ფორმა'!$T21/SUMIF('მომწოდებლის ფორმა'!$R$4:$R$27,'მომწოდებლის ფორმა'!$R21,'მომწოდებლის ფორმა'!H$4:H$27))+IF(OR('მომწოდებლის ფორმა'!$U21="",N('მომწოდებლის ფორმა'!$V21)=0,N('მომწოდებლის ფორმა'!$W21)=0),0,'მომწოდებლის ფორმა'!$V21*'მომწოდებლის ფორმა'!$AB21*30/'მომწოდებლის ფორმა'!$W21/SUMIF('მომწოდებლის ფორმა'!$U$4:$U$27,'მომწოდებლის ფორმა'!$U21,'მომწოდებლის ფორმა'!H$4:H$27))+N('მომწოდებლის ფორმა'!$X21)*'მომწოდებლის ფორმა'!$AB21)</f>
        <v/>
      </c>
      <c r="I21" s="21" t="str">
        <f>IF(OR(N('მომწოდებლის ფორმა'!I21)&lt;=0,'მომწოდებლის ფორმა'!$M21="",'მომწოდებლის ფორმა'!$P21="",'მომწოდებლის ფორმა'!$Z21=""),"",MAX(('მომწოდებლის ფორმა'!I21+$B$33+IF('მომწოდებლის ფორმა'!$Q21="",0,30/'მომწოდებლის ფორმა'!$Q21*$B$34))/'მომწოდებლის ფორმა'!$M21,30/'მომწოდებლის ფორმა'!$P21)*'მომწოდებლის ფორმა'!$Z21/'მომწოდებლის ფორმა'!I21+IF(OR('მომწოდებლის ფორმა'!$R21="",N('მომწოდებლის ფორმა'!$S21)=0,N('მომწოდებლის ფორმა'!$T21)=0),0,'მომწოდებლის ფორმა'!$S21*'მომწოდებლის ფორმა'!$AB21*30/'მომწოდებლის ფორმა'!$T21/SUMIF('მომწოდებლის ფორმა'!$R$4:$R$27,'მომწოდებლის ფორმა'!$R21,'მომწოდებლის ფორმა'!I$4:I$27))+IF(OR('მომწოდებლის ფორმა'!$U21="",N('მომწოდებლის ფორმა'!$V21)=0,N('მომწოდებლის ფორმა'!$W21)=0),0,'მომწოდებლის ფორმა'!$V21*'მომწოდებლის ფორმა'!$AB21*30/'მომწოდებლის ფორმა'!$W21/SUMIF('მომწოდებლის ფორმა'!$U$4:$U$27,'მომწოდებლის ფორმა'!$U21,'მომწოდებლის ფორმა'!I$4:I$27))+N('მომწოდებლის ფორმა'!$X21)*'მომწოდებლის ფორმა'!$AB21)</f>
        <v/>
      </c>
    </row>
    <row r="22" spans="1:9" x14ac:dyDescent="0.3">
      <c r="A22" s="31" t="str">
        <f>'მომწოდებლის ფორმა'!A22</f>
        <v>სრული ქოლესტეროლი TC G1</v>
      </c>
      <c r="B22" s="21" t="str">
        <f>IF(OR(N('მომწოდებლის ფორმა'!B22)&lt;=0,'მომწოდებლის ფორმა'!$M22="",'მომწოდებლის ფორმა'!$P22="",'მომწოდებლის ფორმა'!$Z22=""),"",MAX(('მომწოდებლის ფორმა'!B22+$B$33+IF('მომწოდებლის ფორმა'!$Q22="",0,30/'მომწოდებლის ფორმა'!$Q22*$B$34))/'მომწოდებლის ფორმა'!$M22,30/'მომწოდებლის ფორმა'!$P22)*'მომწოდებლის ფორმა'!$Z22/'მომწოდებლის ფორმა'!B22+IF(OR('მომწოდებლის ფორმა'!$R22="",N('მომწოდებლის ფორმა'!$S22)=0,N('მომწოდებლის ფორმა'!$T22)=0),0,'მომწოდებლის ფორმა'!$S22*'მომწოდებლის ფორმა'!$AB22*30/'მომწოდებლის ფორმა'!$T22/SUMIF('მომწოდებლის ფორმა'!$R$4:$R$27,'მომწოდებლის ფორმა'!$R22,'მომწოდებლის ფორმა'!B$4:B$27))+IF(OR('მომწოდებლის ფორმა'!$U22="",N('მომწოდებლის ფორმა'!$V22)=0,N('მომწოდებლის ფორმა'!$W22)=0),0,'მომწოდებლის ფორმა'!$V22*'მომწოდებლის ფორმა'!$AB22*30/'მომწოდებლის ფორმა'!$W22/SUMIF('მომწოდებლის ფორმა'!$U$4:$U$27,'მომწოდებლის ფორმა'!$U22,'მომწოდებლის ფორმა'!B$4:B$27))+N('მომწოდებლის ფორმა'!$X22)*'მომწოდებლის ფორმა'!$AB22)</f>
        <v/>
      </c>
      <c r="C22" s="21" t="str">
        <f>IF(OR(N('მომწოდებლის ფორმა'!C22)&lt;=0,'მომწოდებლის ფორმა'!$M22="",'მომწოდებლის ფორმა'!$P22="",'მომწოდებლის ფორმა'!$Z22=""),"",MAX(('მომწოდებლის ფორმა'!C22+$B$33+IF('მომწოდებლის ფორმა'!$Q22="",0,30/'მომწოდებლის ფორმა'!$Q22*$B$34))/'მომწოდებლის ფორმა'!$M22,30/'მომწოდებლის ფორმა'!$P22)*'მომწოდებლის ფორმა'!$Z22/'მომწოდებლის ფორმა'!C22+IF(OR('მომწოდებლის ფორმა'!$R22="",N('მომწოდებლის ფორმა'!$S22)=0,N('მომწოდებლის ფორმა'!$T22)=0),0,'მომწოდებლის ფორმა'!$S22*'მომწოდებლის ფორმა'!$AB22*30/'მომწოდებლის ფორმა'!$T22/SUMIF('მომწოდებლის ფორმა'!$R$4:$R$27,'მომწოდებლის ფორმა'!$R22,'მომწოდებლის ფორმა'!C$4:C$27))+IF(OR('მომწოდებლის ფორმა'!$U22="",N('მომწოდებლის ფორმა'!$V22)=0,N('მომწოდებლის ფორმა'!$W22)=0),0,'მომწოდებლის ფორმა'!$V22*'მომწოდებლის ფორმა'!$AB22*30/'მომწოდებლის ფორმა'!$W22/SUMIF('მომწოდებლის ფორმა'!$U$4:$U$27,'მომწოდებლის ფორმა'!$U22,'მომწოდებლის ფორმა'!C$4:C$27))+N('მომწოდებლის ფორმა'!$X22)*'მომწოდებლის ფორმა'!$AB22)</f>
        <v/>
      </c>
      <c r="D22" s="21" t="str">
        <f>IF(OR(N('მომწოდებლის ფორმა'!D22)&lt;=0,'მომწოდებლის ფორმა'!$M22="",'მომწოდებლის ფორმა'!$P22="",'მომწოდებლის ფორმა'!$Z22=""),"",MAX(('მომწოდებლის ფორმა'!D22+$B$33+IF('მომწოდებლის ფორმა'!$Q22="",0,30/'მომწოდებლის ფორმა'!$Q22*$B$34))/'მომწოდებლის ფორმა'!$M22,30/'მომწოდებლის ფორმა'!$P22)*'მომწოდებლის ფორმა'!$Z22/'მომწოდებლის ფორმა'!D22+IF(OR('მომწოდებლის ფორმა'!$R22="",N('მომწოდებლის ფორმა'!$S22)=0,N('მომწოდებლის ფორმა'!$T22)=0),0,'მომწოდებლის ფორმა'!$S22*'მომწოდებლის ფორმა'!$AB22*30/'მომწოდებლის ფორმა'!$T22/SUMIF('მომწოდებლის ფორმა'!$R$4:$R$27,'მომწოდებლის ფორმა'!$R22,'მომწოდებლის ფორმა'!D$4:D$27))+IF(OR('მომწოდებლის ფორმა'!$U22="",N('მომწოდებლის ფორმა'!$V22)=0,N('მომწოდებლის ფორმა'!$W22)=0),0,'მომწოდებლის ფორმა'!$V22*'მომწოდებლის ფორმა'!$AB22*30/'მომწოდებლის ფორმა'!$W22/SUMIF('მომწოდებლის ფორმა'!$U$4:$U$27,'მომწოდებლის ფორმა'!$U22,'მომწოდებლის ფორმა'!D$4:D$27))+N('მომწოდებლის ფორმა'!$X22)*'მომწოდებლის ფორმა'!$AB22)</f>
        <v/>
      </c>
      <c r="E22" s="21" t="str">
        <f>IF(OR(N('მომწოდებლის ფორმა'!E22)&lt;=0,'მომწოდებლის ფორმა'!$M22="",'მომწოდებლის ფორმა'!$P22="",'მომწოდებლის ფორმა'!$Z22=""),"",MAX(('მომწოდებლის ფორმა'!E22+$B$33+IF('მომწოდებლის ფორმა'!$Q22="",0,30/'მომწოდებლის ფორმა'!$Q22*$B$34))/'მომწოდებლის ფორმა'!$M22,30/'მომწოდებლის ფორმა'!$P22)*'მომწოდებლის ფორმა'!$Z22/'მომწოდებლის ფორმა'!E22+IF(OR('მომწოდებლის ფორმა'!$R22="",N('მომწოდებლის ფორმა'!$S22)=0,N('მომწოდებლის ფორმა'!$T22)=0),0,'მომწოდებლის ფორმა'!$S22*'მომწოდებლის ფორმა'!$AB22*30/'მომწოდებლის ფორმა'!$T22/SUMIF('მომწოდებლის ფორმა'!$R$4:$R$27,'მომწოდებლის ფორმა'!$R22,'მომწოდებლის ფორმა'!E$4:E$27))+IF(OR('მომწოდებლის ფორმა'!$U22="",N('მომწოდებლის ფორმა'!$V22)=0,N('მომწოდებლის ფორმა'!$W22)=0),0,'მომწოდებლის ფორმა'!$V22*'მომწოდებლის ფორმა'!$AB22*30/'მომწოდებლის ფორმა'!$W22/SUMIF('მომწოდებლის ფორმა'!$U$4:$U$27,'მომწოდებლის ფორმა'!$U22,'მომწოდებლის ფორმა'!E$4:E$27))+N('მომწოდებლის ფორმა'!$X22)*'მომწოდებლის ფორმა'!$AB22)</f>
        <v/>
      </c>
      <c r="F22" s="21" t="str">
        <f>IF(OR(N('მომწოდებლის ფორმა'!F22)&lt;=0,'მომწოდებლის ფორმა'!$M22="",'მომწოდებლის ფორმა'!$P22="",'მომწოდებლის ფორმა'!$Z22=""),"",MAX(('მომწოდებლის ფორმა'!F22+$B$33+IF('მომწოდებლის ფორმა'!$Q22="",0,30/'მომწოდებლის ფორმა'!$Q22*$B$34))/'მომწოდებლის ფორმა'!$M22,30/'მომწოდებლის ფორმა'!$P22)*'მომწოდებლის ფორმა'!$Z22/'მომწოდებლის ფორმა'!F22+IF(OR('მომწოდებლის ფორმა'!$R22="",N('მომწოდებლის ფორმა'!$S22)=0,N('მომწოდებლის ფორმა'!$T22)=0),0,'მომწოდებლის ფორმა'!$S22*'მომწოდებლის ფორმა'!$AB22*30/'მომწოდებლის ფორმა'!$T22/SUMIF('მომწოდებლის ფორმა'!$R$4:$R$27,'მომწოდებლის ფორმა'!$R22,'მომწოდებლის ფორმა'!F$4:F$27))+IF(OR('მომწოდებლის ფორმა'!$U22="",N('მომწოდებლის ფორმა'!$V22)=0,N('მომწოდებლის ფორმა'!$W22)=0),0,'მომწოდებლის ფორმა'!$V22*'მომწოდებლის ფორმა'!$AB22*30/'მომწოდებლის ფორმა'!$W22/SUMIF('მომწოდებლის ფორმა'!$U$4:$U$27,'მომწოდებლის ფორმა'!$U22,'მომწოდებლის ფორმა'!F$4:F$27))+N('მომწოდებლის ფორმა'!$X22)*'მომწოდებლის ფორმა'!$AB22)</f>
        <v/>
      </c>
      <c r="G22" s="21" t="str">
        <f>IF(OR(N('მომწოდებლის ფორმა'!G22)&lt;=0,'მომწოდებლის ფორმა'!$M22="",'მომწოდებლის ფორმა'!$P22="",'მომწოდებლის ფორმა'!$Z22=""),"",MAX(('მომწოდებლის ფორმა'!G22+$B$33+IF('მომწოდებლის ფორმა'!$Q22="",0,30/'მომწოდებლის ფორმა'!$Q22*$B$34))/'მომწოდებლის ფორმა'!$M22,30/'მომწოდებლის ფორმა'!$P22)*'მომწოდებლის ფორმა'!$Z22/'მომწოდებლის ფორმა'!G22+IF(OR('მომწოდებლის ფორმა'!$R22="",N('მომწოდებლის ფორმა'!$S22)=0,N('მომწოდებლის ფორმა'!$T22)=0),0,'მომწოდებლის ფორმა'!$S22*'მომწოდებლის ფორმა'!$AB22*30/'მომწოდებლის ფორმა'!$T22/SUMIF('მომწოდებლის ფორმა'!$R$4:$R$27,'მომწოდებლის ფორმა'!$R22,'მომწოდებლის ფორმა'!G$4:G$27))+IF(OR('მომწოდებლის ფორმა'!$U22="",N('მომწოდებლის ფორმა'!$V22)=0,N('მომწოდებლის ფორმა'!$W22)=0),0,'მომწოდებლის ფორმა'!$V22*'მომწოდებლის ფორმა'!$AB22*30/'მომწოდებლის ფორმა'!$W22/SUMIF('მომწოდებლის ფორმა'!$U$4:$U$27,'მომწოდებლის ფორმა'!$U22,'მომწოდებლის ფორმა'!G$4:G$27))+N('მომწოდებლის ფორმა'!$X22)*'მომწოდებლის ფორმა'!$AB22)</f>
        <v/>
      </c>
      <c r="H22" s="21" t="str">
        <f>IF(OR(N('მომწოდებლის ფორმა'!H22)&lt;=0,'მომწოდებლის ფორმა'!$M22="",'მომწოდებლის ფორმა'!$P22="",'მომწოდებლის ფორმა'!$Z22=""),"",MAX(('მომწოდებლის ფორმა'!H22+$B$33+IF('მომწოდებლის ფორმა'!$Q22="",0,30/'მომწოდებლის ფორმა'!$Q22*$B$34))/'მომწოდებლის ფორმა'!$M22,30/'მომწოდებლის ფორმა'!$P22)*'მომწოდებლის ფორმა'!$Z22/'მომწოდებლის ფორმა'!H22+IF(OR('მომწოდებლის ფორმა'!$R22="",N('მომწოდებლის ფორმა'!$S22)=0,N('მომწოდებლის ფორმა'!$T22)=0),0,'მომწოდებლის ფორმა'!$S22*'მომწოდებლის ფორმა'!$AB22*30/'მომწოდებლის ფორმა'!$T22/SUMIF('მომწოდებლის ფორმა'!$R$4:$R$27,'მომწოდებლის ფორმა'!$R22,'მომწოდებლის ფორმა'!H$4:H$27))+IF(OR('მომწოდებლის ფორმა'!$U22="",N('მომწოდებლის ფორმა'!$V22)=0,N('მომწოდებლის ფორმა'!$W22)=0),0,'მომწოდებლის ფორმა'!$V22*'მომწოდებლის ფორმა'!$AB22*30/'მომწოდებლის ფორმა'!$W22/SUMIF('მომწოდებლის ფორმა'!$U$4:$U$27,'მომწოდებლის ფორმა'!$U22,'მომწოდებლის ფორმა'!H$4:H$27))+N('მომწოდებლის ფორმა'!$X22)*'მომწოდებლის ფორმა'!$AB22)</f>
        <v/>
      </c>
      <c r="I22" s="21" t="str">
        <f>IF(OR(N('მომწოდებლის ფორმა'!I22)&lt;=0,'მომწოდებლის ფორმა'!$M22="",'მომწოდებლის ფორმა'!$P22="",'მომწოდებლის ფორმა'!$Z22=""),"",MAX(('მომწოდებლის ფორმა'!I22+$B$33+IF('მომწოდებლის ფორმა'!$Q22="",0,30/'მომწოდებლის ფორმა'!$Q22*$B$34))/'მომწოდებლის ფორმა'!$M22,30/'მომწოდებლის ფორმა'!$P22)*'მომწოდებლის ფორმა'!$Z22/'მომწოდებლის ფორმა'!I22+IF(OR('მომწოდებლის ფორმა'!$R22="",N('მომწოდებლის ფორმა'!$S22)=0,N('მომწოდებლის ფორმა'!$T22)=0),0,'მომწოდებლის ფორმა'!$S22*'მომწოდებლის ფორმა'!$AB22*30/'მომწოდებლის ფორმა'!$T22/SUMIF('მომწოდებლის ფორმა'!$R$4:$R$27,'მომწოდებლის ფორმა'!$R22,'მომწოდებლის ფორმა'!I$4:I$27))+IF(OR('მომწოდებლის ფორმა'!$U22="",N('მომწოდებლის ფორმა'!$V22)=0,N('მომწოდებლის ფორმა'!$W22)=0),0,'მომწოდებლის ფორმა'!$V22*'მომწოდებლის ფორმა'!$AB22*30/'მომწოდებლის ფორმა'!$W22/SUMIF('მომწოდებლის ფორმა'!$U$4:$U$27,'მომწოდებლის ფორმა'!$U22,'მომწოდებლის ფორმა'!I$4:I$27))+N('მომწოდებლის ფორმა'!$X22)*'მომწოდებლის ფორმა'!$AB22)</f>
        <v/>
      </c>
    </row>
    <row r="23" spans="1:9" x14ac:dyDescent="0.3">
      <c r="A23" s="31" t="str">
        <f>'მომწოდებლის ფორმა'!A23</f>
        <v>მაგნიუმი Mg</v>
      </c>
      <c r="B23" s="21" t="str">
        <f>IF(OR(N('მომწოდებლის ფორმა'!B23)&lt;=0,'მომწოდებლის ფორმა'!$M23="",'მომწოდებლის ფორმა'!$P23="",'მომწოდებლის ფორმა'!$Z23=""),"",MAX(('მომწოდებლის ფორმა'!B23+$B$33+IF('მომწოდებლის ფორმა'!$Q23="",0,30/'მომწოდებლის ფორმა'!$Q23*$B$34))/'მომწოდებლის ფორმა'!$M23,30/'მომწოდებლის ფორმა'!$P23)*'მომწოდებლის ფორმა'!$Z23/'მომწოდებლის ფორმა'!B23+IF(OR('მომწოდებლის ფორმა'!$R23="",N('მომწოდებლის ფორმა'!$S23)=0,N('მომწოდებლის ფორმა'!$T23)=0),0,'მომწოდებლის ფორმა'!$S23*'მომწოდებლის ფორმა'!$AB23*30/'მომწოდებლის ფორმა'!$T23/SUMIF('მომწოდებლის ფორმა'!$R$4:$R$27,'მომწოდებლის ფორმა'!$R23,'მომწოდებლის ფორმა'!B$4:B$27))+IF(OR('მომწოდებლის ფორმა'!$U23="",N('მომწოდებლის ფორმა'!$V23)=0,N('მომწოდებლის ფორმა'!$W23)=0),0,'მომწოდებლის ფორმა'!$V23*'მომწოდებლის ფორმა'!$AB23*30/'მომწოდებლის ფორმა'!$W23/SUMIF('მომწოდებლის ფორმა'!$U$4:$U$27,'მომწოდებლის ფორმა'!$U23,'მომწოდებლის ფორმა'!B$4:B$27))+N('მომწოდებლის ფორმა'!$X23)*'მომწოდებლის ფორმა'!$AB23)</f>
        <v/>
      </c>
      <c r="C23" s="21" t="str">
        <f>IF(OR(N('მომწოდებლის ფორმა'!C23)&lt;=0,'მომწოდებლის ფორმა'!$M23="",'მომწოდებლის ფორმა'!$P23="",'მომწოდებლის ფორმა'!$Z23=""),"",MAX(('მომწოდებლის ფორმა'!C23+$B$33+IF('მომწოდებლის ფორმა'!$Q23="",0,30/'მომწოდებლის ფორმა'!$Q23*$B$34))/'მომწოდებლის ფორმა'!$M23,30/'მომწოდებლის ფორმა'!$P23)*'მომწოდებლის ფორმა'!$Z23/'მომწოდებლის ფორმა'!C23+IF(OR('მომწოდებლის ფორმა'!$R23="",N('მომწოდებლის ფორმა'!$S23)=0,N('მომწოდებლის ფორმა'!$T23)=0),0,'მომწოდებლის ფორმა'!$S23*'მომწოდებლის ფორმა'!$AB23*30/'მომწოდებლის ფორმა'!$T23/SUMIF('მომწოდებლის ფორმა'!$R$4:$R$27,'მომწოდებლის ფორმა'!$R23,'მომწოდებლის ფორმა'!C$4:C$27))+IF(OR('მომწოდებლის ფორმა'!$U23="",N('მომწოდებლის ფორმა'!$V23)=0,N('მომწოდებლის ფორმა'!$W23)=0),0,'მომწოდებლის ფორმა'!$V23*'მომწოდებლის ფორმა'!$AB23*30/'მომწოდებლის ფორმა'!$W23/SUMIF('მომწოდებლის ფორმა'!$U$4:$U$27,'მომწოდებლის ფორმა'!$U23,'მომწოდებლის ფორმა'!C$4:C$27))+N('მომწოდებლის ფორმა'!$X23)*'მომწოდებლის ფორმა'!$AB23)</f>
        <v/>
      </c>
      <c r="D23" s="21" t="str">
        <f>IF(OR(N('მომწოდებლის ფორმა'!D23)&lt;=0,'მომწოდებლის ფორმა'!$M23="",'მომწოდებლის ფორმა'!$P23="",'მომწოდებლის ფორმა'!$Z23=""),"",MAX(('მომწოდებლის ფორმა'!D23+$B$33+IF('მომწოდებლის ფორმა'!$Q23="",0,30/'მომწოდებლის ფორმა'!$Q23*$B$34))/'მომწოდებლის ფორმა'!$M23,30/'მომწოდებლის ფორმა'!$P23)*'მომწოდებლის ფორმა'!$Z23/'მომწოდებლის ფორმა'!D23+IF(OR('მომწოდებლის ფორმა'!$R23="",N('მომწოდებლის ფორმა'!$S23)=0,N('მომწოდებლის ფორმა'!$T23)=0),0,'მომწოდებლის ფორმა'!$S23*'მომწოდებლის ფორმა'!$AB23*30/'მომწოდებლის ფორმა'!$T23/SUMIF('მომწოდებლის ფორმა'!$R$4:$R$27,'მომწოდებლის ფორმა'!$R23,'მომწოდებლის ფორმა'!D$4:D$27))+IF(OR('მომწოდებლის ფორმა'!$U23="",N('მომწოდებლის ფორმა'!$V23)=0,N('მომწოდებლის ფორმა'!$W23)=0),0,'მომწოდებლის ფორმა'!$V23*'მომწოდებლის ფორმა'!$AB23*30/'მომწოდებლის ფორმა'!$W23/SUMIF('მომწოდებლის ფორმა'!$U$4:$U$27,'მომწოდებლის ფორმა'!$U23,'მომწოდებლის ფორმა'!D$4:D$27))+N('მომწოდებლის ფორმა'!$X23)*'მომწოდებლის ფორმა'!$AB23)</f>
        <v/>
      </c>
      <c r="E23" s="21" t="str">
        <f>IF(OR(N('მომწოდებლის ფორმა'!E23)&lt;=0,'მომწოდებლის ფორმა'!$M23="",'მომწოდებლის ფორმა'!$P23="",'მომწოდებლის ფორმა'!$Z23=""),"",MAX(('მომწოდებლის ფორმა'!E23+$B$33+IF('მომწოდებლის ფორმა'!$Q23="",0,30/'მომწოდებლის ფორმა'!$Q23*$B$34))/'მომწოდებლის ფორმა'!$M23,30/'მომწოდებლის ფორმა'!$P23)*'მომწოდებლის ფორმა'!$Z23/'მომწოდებლის ფორმა'!E23+IF(OR('მომწოდებლის ფორმა'!$R23="",N('მომწოდებლის ფორმა'!$S23)=0,N('მომწოდებლის ფორმა'!$T23)=0),0,'მომწოდებლის ფორმა'!$S23*'მომწოდებლის ფორმა'!$AB23*30/'მომწოდებლის ფორმა'!$T23/SUMIF('მომწოდებლის ფორმა'!$R$4:$R$27,'მომწოდებლის ფორმა'!$R23,'მომწოდებლის ფორმა'!E$4:E$27))+IF(OR('მომწოდებლის ფორმა'!$U23="",N('მომწოდებლის ფორმა'!$V23)=0,N('მომწოდებლის ფორმა'!$W23)=0),0,'მომწოდებლის ფორმა'!$V23*'მომწოდებლის ფორმა'!$AB23*30/'მომწოდებლის ფორმა'!$W23/SUMIF('მომწოდებლის ფორმა'!$U$4:$U$27,'მომწოდებლის ფორმა'!$U23,'მომწოდებლის ფორმა'!E$4:E$27))+N('მომწოდებლის ფორმა'!$X23)*'მომწოდებლის ფორმა'!$AB23)</f>
        <v/>
      </c>
      <c r="F23" s="21" t="str">
        <f>IF(OR(N('მომწოდებლის ფორმა'!F23)&lt;=0,'მომწოდებლის ფორმა'!$M23="",'მომწოდებლის ფორმა'!$P23="",'მომწოდებლის ფორმა'!$Z23=""),"",MAX(('მომწოდებლის ფორმა'!F23+$B$33+IF('მომწოდებლის ფორმა'!$Q23="",0,30/'მომწოდებლის ფორმა'!$Q23*$B$34))/'მომწოდებლის ფორმა'!$M23,30/'მომწოდებლის ფორმა'!$P23)*'მომწოდებლის ფორმა'!$Z23/'მომწოდებლის ფორმა'!F23+IF(OR('მომწოდებლის ფორმა'!$R23="",N('მომწოდებლის ფორმა'!$S23)=0,N('მომწოდებლის ფორმა'!$T23)=0),0,'მომწოდებლის ფორმა'!$S23*'მომწოდებლის ფორმა'!$AB23*30/'მომწოდებლის ფორმა'!$T23/SUMIF('მომწოდებლის ფორმა'!$R$4:$R$27,'მომწოდებლის ფორმა'!$R23,'მომწოდებლის ფორმა'!F$4:F$27))+IF(OR('მომწოდებლის ფორმა'!$U23="",N('მომწოდებლის ფორმა'!$V23)=0,N('მომწოდებლის ფორმა'!$W23)=0),0,'მომწოდებლის ფორმა'!$V23*'მომწოდებლის ფორმა'!$AB23*30/'მომწოდებლის ფორმა'!$W23/SUMIF('მომწოდებლის ფორმა'!$U$4:$U$27,'მომწოდებლის ფორმა'!$U23,'მომწოდებლის ფორმა'!F$4:F$27))+N('მომწოდებლის ფორმა'!$X23)*'მომწოდებლის ფორმა'!$AB23)</f>
        <v/>
      </c>
      <c r="G23" s="21" t="str">
        <f>IF(OR(N('მომწოდებლის ფორმა'!G23)&lt;=0,'მომწოდებლის ფორმა'!$M23="",'მომწოდებლის ფორმა'!$P23="",'მომწოდებლის ფორმა'!$Z23=""),"",MAX(('მომწოდებლის ფორმა'!G23+$B$33+IF('მომწოდებლის ფორმა'!$Q23="",0,30/'მომწოდებლის ფორმა'!$Q23*$B$34))/'მომწოდებლის ფორმა'!$M23,30/'მომწოდებლის ფორმა'!$P23)*'მომწოდებლის ფორმა'!$Z23/'მომწოდებლის ფორმა'!G23+IF(OR('მომწოდებლის ფორმა'!$R23="",N('მომწოდებლის ფორმა'!$S23)=0,N('მომწოდებლის ფორმა'!$T23)=0),0,'მომწოდებლის ფორმა'!$S23*'მომწოდებლის ფორმა'!$AB23*30/'მომწოდებლის ფორმა'!$T23/SUMIF('მომწოდებლის ფორმა'!$R$4:$R$27,'მომწოდებლის ფორმა'!$R23,'მომწოდებლის ფორმა'!G$4:G$27))+IF(OR('მომწოდებლის ფორმა'!$U23="",N('მომწოდებლის ფორმა'!$V23)=0,N('მომწოდებლის ფორმა'!$W23)=0),0,'მომწოდებლის ფორმა'!$V23*'მომწოდებლის ფორმა'!$AB23*30/'მომწოდებლის ფორმა'!$W23/SUMIF('მომწოდებლის ფორმა'!$U$4:$U$27,'მომწოდებლის ფორმა'!$U23,'მომწოდებლის ფორმა'!G$4:G$27))+N('მომწოდებლის ფორმა'!$X23)*'მომწოდებლის ფორმა'!$AB23)</f>
        <v/>
      </c>
      <c r="H23" s="21" t="str">
        <f>IF(OR(N('მომწოდებლის ფორმა'!H23)&lt;=0,'მომწოდებლის ფორმა'!$M23="",'მომწოდებლის ფორმა'!$P23="",'მომწოდებლის ფორმა'!$Z23=""),"",MAX(('მომწოდებლის ფორმა'!H23+$B$33+IF('მომწოდებლის ფორმა'!$Q23="",0,30/'მომწოდებლის ფორმა'!$Q23*$B$34))/'მომწოდებლის ფორმა'!$M23,30/'მომწოდებლის ფორმა'!$P23)*'მომწოდებლის ფორმა'!$Z23/'მომწოდებლის ფორმა'!H23+IF(OR('მომწოდებლის ფორმა'!$R23="",N('მომწოდებლის ფორმა'!$S23)=0,N('მომწოდებლის ფორმა'!$T23)=0),0,'მომწოდებლის ფორმა'!$S23*'მომწოდებლის ფორმა'!$AB23*30/'მომწოდებლის ფორმა'!$T23/SUMIF('მომწოდებლის ფორმა'!$R$4:$R$27,'მომწოდებლის ფორმა'!$R23,'მომწოდებლის ფორმა'!H$4:H$27))+IF(OR('მომწოდებლის ფორმა'!$U23="",N('მომწოდებლის ფორმა'!$V23)=0,N('მომწოდებლის ფორმა'!$W23)=0),0,'მომწოდებლის ფორმა'!$V23*'მომწოდებლის ფორმა'!$AB23*30/'მომწოდებლის ფორმა'!$W23/SUMIF('მომწოდებლის ფორმა'!$U$4:$U$27,'მომწოდებლის ფორმა'!$U23,'მომწოდებლის ფორმა'!H$4:H$27))+N('მომწოდებლის ფორმა'!$X23)*'მომწოდებლის ფორმა'!$AB23)</f>
        <v/>
      </c>
      <c r="I23" s="21" t="str">
        <f>IF(OR(N('მომწოდებლის ფორმა'!I23)&lt;=0,'მომწოდებლის ფორმა'!$M23="",'მომწოდებლის ფორმა'!$P23="",'მომწოდებლის ფორმა'!$Z23=""),"",MAX(('მომწოდებლის ფორმა'!I23+$B$33+IF('მომწოდებლის ფორმა'!$Q23="",0,30/'მომწოდებლის ფორმა'!$Q23*$B$34))/'მომწოდებლის ფორმა'!$M23,30/'მომწოდებლის ფორმა'!$P23)*'მომწოდებლის ფორმა'!$Z23/'მომწოდებლის ფორმა'!I23+IF(OR('მომწოდებლის ფორმა'!$R23="",N('მომწოდებლის ფორმა'!$S23)=0,N('მომწოდებლის ფორმა'!$T23)=0),0,'მომწოდებლის ფორმა'!$S23*'მომწოდებლის ფორმა'!$AB23*30/'მომწოდებლის ფორმა'!$T23/SUMIF('მომწოდებლის ფორმა'!$R$4:$R$27,'მომწოდებლის ფორმა'!$R23,'მომწოდებლის ფორმა'!I$4:I$27))+IF(OR('მომწოდებლის ფორმა'!$U23="",N('მომწოდებლის ფორმა'!$V23)=0,N('მომწოდებლის ფორმა'!$W23)=0),0,'მომწოდებლის ფორმა'!$V23*'მომწოდებლის ფორმა'!$AB23*30/'მომწოდებლის ფორმა'!$W23/SUMIF('მომწოდებლის ფორმა'!$U$4:$U$27,'მომწოდებლის ფორმა'!$U23,'მომწოდებლის ფორმა'!I$4:I$27))+N('მომწოდებლის ფორმა'!$X23)*'მომწოდებლის ფორმა'!$AB23)</f>
        <v/>
      </c>
    </row>
    <row r="24" spans="1:9" x14ac:dyDescent="0.3">
      <c r="A24" s="31" t="str">
        <f>'მომწოდებლის ფორმა'!A24</f>
        <v>კალციუმი Ca G1</v>
      </c>
      <c r="B24" s="21" t="str">
        <f>IF(OR(N('მომწოდებლის ფორმა'!B24)&lt;=0,'მომწოდებლის ფორმა'!$M24="",'მომწოდებლის ფორმა'!$P24="",'მომწოდებლის ფორმა'!$Z24=""),"",MAX(('მომწოდებლის ფორმა'!B24+$B$33+IF('მომწოდებლის ფორმა'!$Q24="",0,30/'მომწოდებლის ფორმა'!$Q24*$B$34))/'მომწოდებლის ფორმა'!$M24,30/'მომწოდებლის ფორმა'!$P24)*'მომწოდებლის ფორმა'!$Z24/'მომწოდებლის ფორმა'!B24+IF(OR('მომწოდებლის ფორმა'!$R24="",N('მომწოდებლის ფორმა'!$S24)=0,N('მომწოდებლის ფორმა'!$T24)=0),0,'მომწოდებლის ფორმა'!$S24*'მომწოდებლის ფორმა'!$AB24*30/'მომწოდებლის ფორმა'!$T24/SUMIF('მომწოდებლის ფორმა'!$R$4:$R$27,'მომწოდებლის ფორმა'!$R24,'მომწოდებლის ფორმა'!B$4:B$27))+IF(OR('მომწოდებლის ფორმა'!$U24="",N('მომწოდებლის ფორმა'!$V24)=0,N('მომწოდებლის ფორმა'!$W24)=0),0,'მომწოდებლის ფორმა'!$V24*'მომწოდებლის ფორმა'!$AB24*30/'მომწოდებლის ფორმა'!$W24/SUMIF('მომწოდებლის ფორმა'!$U$4:$U$27,'მომწოდებლის ფორმა'!$U24,'მომწოდებლის ფორმა'!B$4:B$27))+N('მომწოდებლის ფორმა'!$X24)*'მომწოდებლის ფორმა'!$AB24)</f>
        <v/>
      </c>
      <c r="C24" s="21" t="str">
        <f>IF(OR(N('მომწოდებლის ფორმა'!C24)&lt;=0,'მომწოდებლის ფორმა'!$M24="",'მომწოდებლის ფორმა'!$P24="",'მომწოდებლის ფორმა'!$Z24=""),"",MAX(('მომწოდებლის ფორმა'!C24+$B$33+IF('მომწოდებლის ფორმა'!$Q24="",0,30/'მომწოდებლის ფორმა'!$Q24*$B$34))/'მომწოდებლის ფორმა'!$M24,30/'მომწოდებლის ფორმა'!$P24)*'მომწოდებლის ფორმა'!$Z24/'მომწოდებლის ფორმა'!C24+IF(OR('მომწოდებლის ფორმა'!$R24="",N('მომწოდებლის ფორმა'!$S24)=0,N('მომწოდებლის ფორმა'!$T24)=0),0,'მომწოდებლის ფორმა'!$S24*'მომწოდებლის ფორმა'!$AB24*30/'მომწოდებლის ფორმა'!$T24/SUMIF('მომწოდებლის ფორმა'!$R$4:$R$27,'მომწოდებლის ფორმა'!$R24,'მომწოდებლის ფორმა'!C$4:C$27))+IF(OR('მომწოდებლის ფორმა'!$U24="",N('მომწოდებლის ფორმა'!$V24)=0,N('მომწოდებლის ფორმა'!$W24)=0),0,'მომწოდებლის ფორმა'!$V24*'მომწოდებლის ფორმა'!$AB24*30/'მომწოდებლის ფორმა'!$W24/SUMIF('მომწოდებლის ფორმა'!$U$4:$U$27,'მომწოდებლის ფორმა'!$U24,'მომწოდებლის ფორმა'!C$4:C$27))+N('მომწოდებლის ფორმა'!$X24)*'მომწოდებლის ფორმა'!$AB24)</f>
        <v/>
      </c>
      <c r="D24" s="21" t="str">
        <f>IF(OR(N('მომწოდებლის ფორმა'!D24)&lt;=0,'მომწოდებლის ფორმა'!$M24="",'მომწოდებლის ფორმა'!$P24="",'მომწოდებლის ფორმა'!$Z24=""),"",MAX(('მომწოდებლის ფორმა'!D24+$B$33+IF('მომწოდებლის ფორმა'!$Q24="",0,30/'მომწოდებლის ფორმა'!$Q24*$B$34))/'მომწოდებლის ფორმა'!$M24,30/'მომწოდებლის ფორმა'!$P24)*'მომწოდებლის ფორმა'!$Z24/'მომწოდებლის ფორმა'!D24+IF(OR('მომწოდებლის ფორმა'!$R24="",N('მომწოდებლის ფორმა'!$S24)=0,N('მომწოდებლის ფორმა'!$T24)=0),0,'მომწოდებლის ფორმა'!$S24*'მომწოდებლის ფორმა'!$AB24*30/'მომწოდებლის ფორმა'!$T24/SUMIF('მომწოდებლის ფორმა'!$R$4:$R$27,'მომწოდებლის ფორმა'!$R24,'მომწოდებლის ფორმა'!D$4:D$27))+IF(OR('მომწოდებლის ფორმა'!$U24="",N('მომწოდებლის ფორმა'!$V24)=0,N('მომწოდებლის ფორმა'!$W24)=0),0,'მომწოდებლის ფორმა'!$V24*'მომწოდებლის ფორმა'!$AB24*30/'მომწოდებლის ფორმა'!$W24/SUMIF('მომწოდებლის ფორმა'!$U$4:$U$27,'მომწოდებლის ფორმა'!$U24,'მომწოდებლის ფორმა'!D$4:D$27))+N('მომწოდებლის ფორმა'!$X24)*'მომწოდებლის ფორმა'!$AB24)</f>
        <v/>
      </c>
      <c r="E24" s="21" t="str">
        <f>IF(OR(N('მომწოდებლის ფორმა'!E24)&lt;=0,'მომწოდებლის ფორმა'!$M24="",'მომწოდებლის ფორმა'!$P24="",'მომწოდებლის ფორმა'!$Z24=""),"",MAX(('მომწოდებლის ფორმა'!E24+$B$33+IF('მომწოდებლის ფორმა'!$Q24="",0,30/'მომწოდებლის ფორმა'!$Q24*$B$34))/'მომწოდებლის ფორმა'!$M24,30/'მომწოდებლის ფორმა'!$P24)*'მომწოდებლის ფორმა'!$Z24/'მომწოდებლის ფორმა'!E24+IF(OR('მომწოდებლის ფორმა'!$R24="",N('მომწოდებლის ფორმა'!$S24)=0,N('მომწოდებლის ფორმა'!$T24)=0),0,'მომწოდებლის ფორმა'!$S24*'მომწოდებლის ფორმა'!$AB24*30/'მომწოდებლის ფორმა'!$T24/SUMIF('მომწოდებლის ფორმა'!$R$4:$R$27,'მომწოდებლის ფორმა'!$R24,'მომწოდებლის ფორმა'!E$4:E$27))+IF(OR('მომწოდებლის ფორმა'!$U24="",N('მომწოდებლის ფორმა'!$V24)=0,N('მომწოდებლის ფორმა'!$W24)=0),0,'მომწოდებლის ფორმა'!$V24*'მომწოდებლის ფორმა'!$AB24*30/'მომწოდებლის ფორმა'!$W24/SUMIF('მომწოდებლის ფორმა'!$U$4:$U$27,'მომწოდებლის ფორმა'!$U24,'მომწოდებლის ფორმა'!E$4:E$27))+N('მომწოდებლის ფორმა'!$X24)*'მომწოდებლის ფორმა'!$AB24)</f>
        <v/>
      </c>
      <c r="F24" s="21" t="str">
        <f>IF(OR(N('მომწოდებლის ფორმა'!F24)&lt;=0,'მომწოდებლის ფორმა'!$M24="",'მომწოდებლის ფორმა'!$P24="",'მომწოდებლის ფორმა'!$Z24=""),"",MAX(('მომწოდებლის ფორმა'!F24+$B$33+IF('მომწოდებლის ფორმა'!$Q24="",0,30/'მომწოდებლის ფორმა'!$Q24*$B$34))/'მომწოდებლის ფორმა'!$M24,30/'მომწოდებლის ფორმა'!$P24)*'მომწოდებლის ფორმა'!$Z24/'მომწოდებლის ფორმა'!F24+IF(OR('მომწოდებლის ფორმა'!$R24="",N('მომწოდებლის ფორმა'!$S24)=0,N('მომწოდებლის ფორმა'!$T24)=0),0,'მომწოდებლის ფორმა'!$S24*'მომწოდებლის ფორმა'!$AB24*30/'მომწოდებლის ფორმა'!$T24/SUMIF('მომწოდებლის ფორმა'!$R$4:$R$27,'მომწოდებლის ფორმა'!$R24,'მომწოდებლის ფორმა'!F$4:F$27))+IF(OR('მომწოდებლის ფორმა'!$U24="",N('მომწოდებლის ფორმა'!$V24)=0,N('მომწოდებლის ფორმა'!$W24)=0),0,'მომწოდებლის ფორმა'!$V24*'მომწოდებლის ფორმა'!$AB24*30/'მომწოდებლის ფორმა'!$W24/SUMIF('მომწოდებლის ფორმა'!$U$4:$U$27,'მომწოდებლის ფორმა'!$U24,'მომწოდებლის ფორმა'!F$4:F$27))+N('მომწოდებლის ფორმა'!$X24)*'მომწოდებლის ფორმა'!$AB24)</f>
        <v/>
      </c>
      <c r="G24" s="21" t="str">
        <f>IF(OR(N('მომწოდებლის ფორმა'!G24)&lt;=0,'მომწოდებლის ფორმა'!$M24="",'მომწოდებლის ფორმა'!$P24="",'მომწოდებლის ფორმა'!$Z24=""),"",MAX(('მომწოდებლის ფორმა'!G24+$B$33+IF('მომწოდებლის ფორმა'!$Q24="",0,30/'მომწოდებლის ფორმა'!$Q24*$B$34))/'მომწოდებლის ფორმა'!$M24,30/'მომწოდებლის ფორმა'!$P24)*'მომწოდებლის ფორმა'!$Z24/'მომწოდებლის ფორმა'!G24+IF(OR('მომწოდებლის ფორმა'!$R24="",N('მომწოდებლის ფორმა'!$S24)=0,N('მომწოდებლის ფორმა'!$T24)=0),0,'მომწოდებლის ფორმა'!$S24*'მომწოდებლის ფორმა'!$AB24*30/'მომწოდებლის ფორმა'!$T24/SUMIF('მომწოდებლის ფორმა'!$R$4:$R$27,'მომწოდებლის ფორმა'!$R24,'მომწოდებლის ფორმა'!G$4:G$27))+IF(OR('მომწოდებლის ფორმა'!$U24="",N('მომწოდებლის ფორმა'!$V24)=0,N('მომწოდებლის ფორმა'!$W24)=0),0,'მომწოდებლის ფორმა'!$V24*'მომწოდებლის ფორმა'!$AB24*30/'მომწოდებლის ფორმა'!$W24/SUMIF('მომწოდებლის ფორმა'!$U$4:$U$27,'მომწოდებლის ფორმა'!$U24,'მომწოდებლის ფორმა'!G$4:G$27))+N('მომწოდებლის ფორმა'!$X24)*'მომწოდებლის ფორმა'!$AB24)</f>
        <v/>
      </c>
      <c r="H24" s="21" t="str">
        <f>IF(OR(N('მომწოდებლის ფორმა'!H24)&lt;=0,'მომწოდებლის ფორმა'!$M24="",'მომწოდებლის ფორმა'!$P24="",'მომწოდებლის ფორმა'!$Z24=""),"",MAX(('მომწოდებლის ფორმა'!H24+$B$33+IF('მომწოდებლის ფორმა'!$Q24="",0,30/'მომწოდებლის ფორმა'!$Q24*$B$34))/'მომწოდებლის ფორმა'!$M24,30/'მომწოდებლის ფორმა'!$P24)*'მომწოდებლის ფორმა'!$Z24/'მომწოდებლის ფორმა'!H24+IF(OR('მომწოდებლის ფორმა'!$R24="",N('მომწოდებლის ფორმა'!$S24)=0,N('მომწოდებლის ფორმა'!$T24)=0),0,'მომწოდებლის ფორმა'!$S24*'მომწოდებლის ფორმა'!$AB24*30/'მომწოდებლის ფორმა'!$T24/SUMIF('მომწოდებლის ფორმა'!$R$4:$R$27,'მომწოდებლის ფორმა'!$R24,'მომწოდებლის ფორმა'!H$4:H$27))+IF(OR('მომწოდებლის ფორმა'!$U24="",N('მომწოდებლის ფორმა'!$V24)=0,N('მომწოდებლის ფორმა'!$W24)=0),0,'მომწოდებლის ფორმა'!$V24*'მომწოდებლის ფორმა'!$AB24*30/'მომწოდებლის ფორმა'!$W24/SUMIF('მომწოდებლის ფორმა'!$U$4:$U$27,'მომწოდებლის ფორმა'!$U24,'მომწოდებლის ფორმა'!H$4:H$27))+N('მომწოდებლის ფორმა'!$X24)*'მომწოდებლის ფორმა'!$AB24)</f>
        <v/>
      </c>
      <c r="I24" s="21" t="str">
        <f>IF(OR(N('მომწოდებლის ფორმა'!I24)&lt;=0,'მომწოდებლის ფორმა'!$M24="",'მომწოდებლის ფორმა'!$P24="",'მომწოდებლის ფორმა'!$Z24=""),"",MAX(('მომწოდებლის ფორმა'!I24+$B$33+IF('მომწოდებლის ფორმა'!$Q24="",0,30/'მომწოდებლის ფორმა'!$Q24*$B$34))/'მომწოდებლის ფორმა'!$M24,30/'მომწოდებლის ფორმა'!$P24)*'მომწოდებლის ფორმა'!$Z24/'მომწოდებლის ფორმა'!I24+IF(OR('მომწოდებლის ფორმა'!$R24="",N('მომწოდებლის ფორმა'!$S24)=0,N('მომწოდებლის ფორმა'!$T24)=0),0,'მომწოდებლის ფორმა'!$S24*'მომწოდებლის ფორმა'!$AB24*30/'მომწოდებლის ფორმა'!$T24/SUMIF('მომწოდებლის ფორმა'!$R$4:$R$27,'მომწოდებლის ფორმა'!$R24,'მომწოდებლის ფორმა'!I$4:I$27))+IF(OR('მომწოდებლის ფორმა'!$U24="",N('მომწოდებლის ფორმა'!$V24)=0,N('მომწოდებლის ფორმა'!$W24)=0),0,'მომწოდებლის ფორმა'!$V24*'მომწოდებლის ფორმა'!$AB24*30/'მომწოდებლის ფორმა'!$W24/SUMIF('მომწოდებლის ფორმა'!$U$4:$U$27,'მომწოდებლის ფორმა'!$U24,'მომწოდებლის ფორმა'!I$4:I$27))+N('მომწოდებლის ფორმა'!$X24)*'მომწოდებლის ფორმა'!$AB24)</f>
        <v/>
      </c>
    </row>
    <row r="25" spans="1:9" x14ac:dyDescent="0.3">
      <c r="A25" s="31" t="str">
        <f>'მომწოდებლის ფორმა'!A25</f>
        <v>არაორგანული ფოსფორი PHOS G1</v>
      </c>
      <c r="B25" s="21" t="str">
        <f>IF(OR(N('მომწოდებლის ფორმა'!B25)&lt;=0,'მომწოდებლის ფორმა'!$M25="",'მომწოდებლის ფორმა'!$P25="",'მომწოდებლის ფორმა'!$Z25=""),"",MAX(('მომწოდებლის ფორმა'!B25+$B$33+IF('მომწოდებლის ფორმა'!$Q25="",0,30/'მომწოდებლის ფორმა'!$Q25*$B$34))/'მომწოდებლის ფორმა'!$M25,30/'მომწოდებლის ფორმა'!$P25)*'მომწოდებლის ფორმა'!$Z25/'მომწოდებლის ფორმა'!B25+IF(OR('მომწოდებლის ფორმა'!$R25="",N('მომწოდებლის ფორმა'!$S25)=0,N('მომწოდებლის ფორმა'!$T25)=0),0,'მომწოდებლის ფორმა'!$S25*'მომწოდებლის ფორმა'!$AB25*30/'მომწოდებლის ფორმა'!$T25/SUMIF('მომწოდებლის ფორმა'!$R$4:$R$27,'მომწოდებლის ფორმა'!$R25,'მომწოდებლის ფორმა'!B$4:B$27))+IF(OR('მომწოდებლის ფორმა'!$U25="",N('მომწოდებლის ფორმა'!$V25)=0,N('მომწოდებლის ფორმა'!$W25)=0),0,'მომწოდებლის ფორმა'!$V25*'მომწოდებლის ფორმა'!$AB25*30/'მომწოდებლის ფორმა'!$W25/SUMIF('მომწოდებლის ფორმა'!$U$4:$U$27,'მომწოდებლის ფორმა'!$U25,'მომწოდებლის ფორმა'!B$4:B$27))+N('მომწოდებლის ფორმა'!$X25)*'მომწოდებლის ფორმა'!$AB25)</f>
        <v/>
      </c>
      <c r="C25" s="21" t="str">
        <f>IF(OR(N('მომწოდებლის ფორმა'!C25)&lt;=0,'მომწოდებლის ფორმა'!$M25="",'მომწოდებლის ფორმა'!$P25="",'მომწოდებლის ფორმა'!$Z25=""),"",MAX(('მომწოდებლის ფორმა'!C25+$B$33+IF('მომწოდებლის ფორმა'!$Q25="",0,30/'მომწოდებლის ფორმა'!$Q25*$B$34))/'მომწოდებლის ფორმა'!$M25,30/'მომწოდებლის ფორმა'!$P25)*'მომწოდებლის ფორმა'!$Z25/'მომწოდებლის ფორმა'!C25+IF(OR('მომწოდებლის ფორმა'!$R25="",N('მომწოდებლის ფორმა'!$S25)=0,N('მომწოდებლის ფორმა'!$T25)=0),0,'მომწოდებლის ფორმა'!$S25*'მომწოდებლის ფორმა'!$AB25*30/'მომწოდებლის ფორმა'!$T25/SUMIF('მომწოდებლის ფორმა'!$R$4:$R$27,'მომწოდებლის ფორმა'!$R25,'მომწოდებლის ფორმა'!C$4:C$27))+IF(OR('მომწოდებლის ფორმა'!$U25="",N('მომწოდებლის ფორმა'!$V25)=0,N('მომწოდებლის ფორმა'!$W25)=0),0,'მომწოდებლის ფორმა'!$V25*'მომწოდებლის ფორმა'!$AB25*30/'მომწოდებლის ფორმა'!$W25/SUMIF('მომწოდებლის ფორმა'!$U$4:$U$27,'მომწოდებლის ფორმა'!$U25,'მომწოდებლის ფორმა'!C$4:C$27))+N('მომწოდებლის ფორმა'!$X25)*'მომწოდებლის ფორმა'!$AB25)</f>
        <v/>
      </c>
      <c r="D25" s="21" t="str">
        <f>IF(OR(N('მომწოდებლის ფორმა'!D25)&lt;=0,'მომწოდებლის ფორმა'!$M25="",'მომწოდებლის ფორმა'!$P25="",'მომწოდებლის ფორმა'!$Z25=""),"",MAX(('მომწოდებლის ფორმა'!D25+$B$33+IF('მომწოდებლის ფორმა'!$Q25="",0,30/'მომწოდებლის ფორმა'!$Q25*$B$34))/'მომწოდებლის ფორმა'!$M25,30/'მომწოდებლის ფორმა'!$P25)*'მომწოდებლის ფორმა'!$Z25/'მომწოდებლის ფორმა'!D25+IF(OR('მომწოდებლის ფორმა'!$R25="",N('მომწოდებლის ფორმა'!$S25)=0,N('მომწოდებლის ფორმა'!$T25)=0),0,'მომწოდებლის ფორმა'!$S25*'მომწოდებლის ფორმა'!$AB25*30/'მომწოდებლის ფორმა'!$T25/SUMIF('მომწოდებლის ფორმა'!$R$4:$R$27,'მომწოდებლის ფორმა'!$R25,'მომწოდებლის ფორმა'!D$4:D$27))+IF(OR('მომწოდებლის ფორმა'!$U25="",N('მომწოდებლის ფორმა'!$V25)=0,N('მომწოდებლის ფორმა'!$W25)=0),0,'მომწოდებლის ფორმა'!$V25*'მომწოდებლის ფორმა'!$AB25*30/'მომწოდებლის ფორმა'!$W25/SUMIF('მომწოდებლის ფორმა'!$U$4:$U$27,'მომწოდებლის ფორმა'!$U25,'მომწოდებლის ფორმა'!D$4:D$27))+N('მომწოდებლის ფორმა'!$X25)*'მომწოდებლის ფორმა'!$AB25)</f>
        <v/>
      </c>
      <c r="E25" s="21" t="str">
        <f>IF(OR(N('მომწოდებლის ფორმა'!E25)&lt;=0,'მომწოდებლის ფორმა'!$M25="",'მომწოდებლის ფორმა'!$P25="",'მომწოდებლის ფორმა'!$Z25=""),"",MAX(('მომწოდებლის ფორმა'!E25+$B$33+IF('მომწოდებლის ფორმა'!$Q25="",0,30/'მომწოდებლის ფორმა'!$Q25*$B$34))/'მომწოდებლის ფორმა'!$M25,30/'მომწოდებლის ფორმა'!$P25)*'მომწოდებლის ფორმა'!$Z25/'მომწოდებლის ფორმა'!E25+IF(OR('მომწოდებლის ფორმა'!$R25="",N('მომწოდებლის ფორმა'!$S25)=0,N('მომწოდებლის ფორმა'!$T25)=0),0,'მომწოდებლის ფორმა'!$S25*'მომწოდებლის ფორმა'!$AB25*30/'მომწოდებლის ფორმა'!$T25/SUMIF('მომწოდებლის ფორმა'!$R$4:$R$27,'მომწოდებლის ფორმა'!$R25,'მომწოდებლის ფორმა'!E$4:E$27))+IF(OR('მომწოდებლის ფორმა'!$U25="",N('მომწოდებლის ფორმა'!$V25)=0,N('მომწოდებლის ფორმა'!$W25)=0),0,'მომწოდებლის ფორმა'!$V25*'მომწოდებლის ფორმა'!$AB25*30/'მომწოდებლის ფორმა'!$W25/SUMIF('მომწოდებლის ფორმა'!$U$4:$U$27,'მომწოდებლის ფორმა'!$U25,'მომწოდებლის ფორმა'!E$4:E$27))+N('მომწოდებლის ფორმა'!$X25)*'მომწოდებლის ფორმა'!$AB25)</f>
        <v/>
      </c>
      <c r="F25" s="21" t="str">
        <f>IF(OR(N('მომწოდებლის ფორმა'!F25)&lt;=0,'მომწოდებლის ფორმა'!$M25="",'მომწოდებლის ფორმა'!$P25="",'მომწოდებლის ფორმა'!$Z25=""),"",MAX(('მომწოდებლის ფორმა'!F25+$B$33+IF('მომწოდებლის ფორმა'!$Q25="",0,30/'მომწოდებლის ფორმა'!$Q25*$B$34))/'მომწოდებლის ფორმა'!$M25,30/'მომწოდებლის ფორმა'!$P25)*'მომწოდებლის ფორმა'!$Z25/'მომწოდებლის ფორმა'!F25+IF(OR('მომწოდებლის ფორმა'!$R25="",N('მომწოდებლის ფორმა'!$S25)=0,N('მომწოდებლის ფორმა'!$T25)=0),0,'მომწოდებლის ფორმა'!$S25*'მომწოდებლის ფორმა'!$AB25*30/'მომწოდებლის ფორმა'!$T25/SUMIF('მომწოდებლის ფორმა'!$R$4:$R$27,'მომწოდებლის ფორმა'!$R25,'მომწოდებლის ფორმა'!F$4:F$27))+IF(OR('მომწოდებლის ფორმა'!$U25="",N('მომწოდებლის ფორმა'!$V25)=0,N('მომწოდებლის ფორმა'!$W25)=0),0,'მომწოდებლის ფორმა'!$V25*'მომწოდებლის ფორმა'!$AB25*30/'მომწოდებლის ფორმა'!$W25/SUMIF('მომწოდებლის ფორმა'!$U$4:$U$27,'მომწოდებლის ფორმა'!$U25,'მომწოდებლის ფორმა'!F$4:F$27))+N('მომწოდებლის ფორმა'!$X25)*'მომწოდებლის ფორმა'!$AB25)</f>
        <v/>
      </c>
      <c r="G25" s="21" t="str">
        <f>IF(OR(N('მომწოდებლის ფორმა'!G25)&lt;=0,'მომწოდებლის ფორმა'!$M25="",'მომწოდებლის ფორმა'!$P25="",'მომწოდებლის ფორმა'!$Z25=""),"",MAX(('მომწოდებლის ფორმა'!G25+$B$33+IF('მომწოდებლის ფორმა'!$Q25="",0,30/'მომწოდებლის ფორმა'!$Q25*$B$34))/'მომწოდებლის ფორმა'!$M25,30/'მომწოდებლის ფორმა'!$P25)*'მომწოდებლის ფორმა'!$Z25/'მომწოდებლის ფორმა'!G25+IF(OR('მომწოდებლის ფორმა'!$R25="",N('მომწოდებლის ფორმა'!$S25)=0,N('მომწოდებლის ფორმა'!$T25)=0),0,'მომწოდებლის ფორმა'!$S25*'მომწოდებლის ფორმა'!$AB25*30/'მომწოდებლის ფორმა'!$T25/SUMIF('მომწოდებლის ფორმა'!$R$4:$R$27,'მომწოდებლის ფორმა'!$R25,'მომწოდებლის ფორმა'!G$4:G$27))+IF(OR('მომწოდებლის ფორმა'!$U25="",N('მომწოდებლის ფორმა'!$V25)=0,N('მომწოდებლის ფორმა'!$W25)=0),0,'მომწოდებლის ფორმა'!$V25*'მომწოდებლის ფორმა'!$AB25*30/'მომწოდებლის ფორმა'!$W25/SUMIF('მომწოდებლის ფორმა'!$U$4:$U$27,'მომწოდებლის ფორმა'!$U25,'მომწოდებლის ფორმა'!G$4:G$27))+N('მომწოდებლის ფორმა'!$X25)*'მომწოდებლის ფორმა'!$AB25)</f>
        <v/>
      </c>
      <c r="H25" s="21" t="str">
        <f>IF(OR(N('მომწოდებლის ფორმა'!H25)&lt;=0,'მომწოდებლის ფორმა'!$M25="",'მომწოდებლის ფორმა'!$P25="",'მომწოდებლის ფორმა'!$Z25=""),"",MAX(('მომწოდებლის ფორმა'!H25+$B$33+IF('მომწოდებლის ფორმა'!$Q25="",0,30/'მომწოდებლის ფორმა'!$Q25*$B$34))/'მომწოდებლის ფორმა'!$M25,30/'მომწოდებლის ფორმა'!$P25)*'მომწოდებლის ფორმა'!$Z25/'მომწოდებლის ფორმა'!H25+IF(OR('მომწოდებლის ფორმა'!$R25="",N('მომწოდებლის ფორმა'!$S25)=0,N('მომწოდებლის ფორმა'!$T25)=0),0,'მომწოდებლის ფორმა'!$S25*'მომწოდებლის ფორმა'!$AB25*30/'მომწოდებლის ფორმა'!$T25/SUMIF('მომწოდებლის ფორმა'!$R$4:$R$27,'მომწოდებლის ფორმა'!$R25,'მომწოდებლის ფორმა'!H$4:H$27))+IF(OR('მომწოდებლის ფორმა'!$U25="",N('მომწოდებლის ფორმა'!$V25)=0,N('მომწოდებლის ფორმა'!$W25)=0),0,'მომწოდებლის ფორმა'!$V25*'მომწოდებლის ფორმა'!$AB25*30/'მომწოდებლის ფორმა'!$W25/SUMIF('მომწოდებლის ფორმა'!$U$4:$U$27,'მომწოდებლის ფორმა'!$U25,'მომწოდებლის ფორმა'!H$4:H$27))+N('მომწოდებლის ფორმა'!$X25)*'მომწოდებლის ფორმა'!$AB25)</f>
        <v/>
      </c>
      <c r="I25" s="21" t="str">
        <f>IF(OR(N('მომწოდებლის ფორმა'!I25)&lt;=0,'მომწოდებლის ფორმა'!$M25="",'მომწოდებლის ფორმა'!$P25="",'მომწოდებლის ფორმა'!$Z25=""),"",MAX(('მომწოდებლის ფორმა'!I25+$B$33+IF('მომწოდებლის ფორმა'!$Q25="",0,30/'მომწოდებლის ფორმა'!$Q25*$B$34))/'მომწოდებლის ფორმა'!$M25,30/'მომწოდებლის ფორმა'!$P25)*'მომწოდებლის ფორმა'!$Z25/'მომწოდებლის ფორმა'!I25+IF(OR('მომწოდებლის ფორმა'!$R25="",N('მომწოდებლის ფორმა'!$S25)=0,N('მომწოდებლის ფორმა'!$T25)=0),0,'მომწოდებლის ფორმა'!$S25*'მომწოდებლის ფორმა'!$AB25*30/'მომწოდებლის ფორმა'!$T25/SUMIF('მომწოდებლის ფორმა'!$R$4:$R$27,'მომწოდებლის ფორმა'!$R25,'მომწოდებლის ფორმა'!I$4:I$27))+IF(OR('მომწოდებლის ფორმა'!$U25="",N('მომწოდებლის ფორმა'!$V25)=0,N('მომწოდებლის ფორმა'!$W25)=0),0,'მომწოდებლის ფორმა'!$V25*'მომწოდებლის ფორმა'!$AB25*30/'მომწოდებლის ფორმა'!$W25/SUMIF('მომწოდებლის ფორმა'!$U$4:$U$27,'მომწოდებლის ფორმა'!$U25,'მომწოდებლის ფორმა'!I$4:I$27))+N('მომწოდებლის ფორმა'!$X25)*'მომწოდებლის ფორმა'!$AB25)</f>
        <v/>
      </c>
    </row>
    <row r="26" spans="1:9" x14ac:dyDescent="0.3">
      <c r="A26" s="31" t="str">
        <f>'მომწოდებლის ფორმა'!A26</f>
        <v>რევმატოიდული ფაქტორი RF</v>
      </c>
      <c r="B26" s="21" t="str">
        <f>IF(OR(N('მომწოდებლის ფორმა'!B26)&lt;=0,'მომწოდებლის ფორმა'!$M26="",'მომწოდებლის ფორმა'!$P26="",'მომწოდებლის ფორმა'!$Z26=""),"",MAX(('მომწოდებლის ფორმა'!B26+$B$33+IF('მომწოდებლის ფორმა'!$Q26="",0,30/'მომწოდებლის ფორმა'!$Q26*$B$34))/'მომწოდებლის ფორმა'!$M26,30/'მომწოდებლის ფორმა'!$P26)*'მომწოდებლის ფორმა'!$Z26/'მომწოდებლის ფორმა'!B26+IF(OR('მომწოდებლის ფორმა'!$R26="",N('მომწოდებლის ფორმა'!$S26)=0,N('მომწოდებლის ფორმა'!$T26)=0),0,'მომწოდებლის ფორმა'!$S26*'მომწოდებლის ფორმა'!$AB26*30/'მომწოდებლის ფორმა'!$T26/SUMIF('მომწოდებლის ფორმა'!$R$4:$R$27,'მომწოდებლის ფორმა'!$R26,'მომწოდებლის ფორმა'!B$4:B$27))+IF(OR('მომწოდებლის ფორმა'!$U26="",N('მომწოდებლის ფორმა'!$V26)=0,N('მომწოდებლის ფორმა'!$W26)=0),0,'მომწოდებლის ფორმა'!$V26*'მომწოდებლის ფორმა'!$AB26*30/'მომწოდებლის ფორმა'!$W26/SUMIF('მომწოდებლის ფორმა'!$U$4:$U$27,'მომწოდებლის ფორმა'!$U26,'მომწოდებლის ფორმა'!B$4:B$27))+N('მომწოდებლის ფორმა'!$X26)*'მომწოდებლის ფორმა'!$AB26)</f>
        <v/>
      </c>
      <c r="C26" s="21" t="str">
        <f>IF(OR(N('მომწოდებლის ფორმა'!C26)&lt;=0,'მომწოდებლის ფორმა'!$M26="",'მომწოდებლის ფორმა'!$P26="",'მომწოდებლის ფორმა'!$Z26=""),"",MAX(('მომწოდებლის ფორმა'!C26+$B$33+IF('მომწოდებლის ფორმა'!$Q26="",0,30/'მომწოდებლის ფორმა'!$Q26*$B$34))/'მომწოდებლის ფორმა'!$M26,30/'მომწოდებლის ფორმა'!$P26)*'მომწოდებლის ფორმა'!$Z26/'მომწოდებლის ფორმა'!C26+IF(OR('მომწოდებლის ფორმა'!$R26="",N('მომწოდებლის ფორმა'!$S26)=0,N('მომწოდებლის ფორმა'!$T26)=0),0,'მომწოდებლის ფორმა'!$S26*'მომწოდებლის ფორმა'!$AB26*30/'მომწოდებლის ფორმა'!$T26/SUMIF('მომწოდებლის ფორმა'!$R$4:$R$27,'მომწოდებლის ფორმა'!$R26,'მომწოდებლის ფორმა'!C$4:C$27))+IF(OR('მომწოდებლის ფორმა'!$U26="",N('მომწოდებლის ფორმა'!$V26)=0,N('მომწოდებლის ფორმა'!$W26)=0),0,'მომწოდებლის ფორმა'!$V26*'მომწოდებლის ფორმა'!$AB26*30/'მომწოდებლის ფორმა'!$W26/SUMIF('მომწოდებლის ფორმა'!$U$4:$U$27,'მომწოდებლის ფორმა'!$U26,'მომწოდებლის ფორმა'!C$4:C$27))+N('მომწოდებლის ფორმა'!$X26)*'მომწოდებლის ფორმა'!$AB26)</f>
        <v/>
      </c>
      <c r="D26" s="21" t="str">
        <f>IF(OR(N('მომწოდებლის ფორმა'!D26)&lt;=0,'მომწოდებლის ფორმა'!$M26="",'მომწოდებლის ფორმა'!$P26="",'მომწოდებლის ფორმა'!$Z26=""),"",MAX(('მომწოდებლის ფორმა'!D26+$B$33+IF('მომწოდებლის ფორმა'!$Q26="",0,30/'მომწოდებლის ფორმა'!$Q26*$B$34))/'მომწოდებლის ფორმა'!$M26,30/'მომწოდებლის ფორმა'!$P26)*'მომწოდებლის ფორმა'!$Z26/'მომწოდებლის ფორმა'!D26+IF(OR('მომწოდებლის ფორმა'!$R26="",N('მომწოდებლის ფორმა'!$S26)=0,N('მომწოდებლის ფორმა'!$T26)=0),0,'მომწოდებლის ფორმა'!$S26*'მომწოდებლის ფორმა'!$AB26*30/'მომწოდებლის ფორმა'!$T26/SUMIF('მომწოდებლის ფორმა'!$R$4:$R$27,'მომწოდებლის ფორმა'!$R26,'მომწოდებლის ფორმა'!D$4:D$27))+IF(OR('მომწოდებლის ფორმა'!$U26="",N('მომწოდებლის ფორმა'!$V26)=0,N('მომწოდებლის ფორმა'!$W26)=0),0,'მომწოდებლის ფორმა'!$V26*'მომწოდებლის ფორმა'!$AB26*30/'მომწოდებლის ფორმა'!$W26/SUMIF('მომწოდებლის ფორმა'!$U$4:$U$27,'მომწოდებლის ფორმა'!$U26,'მომწოდებლის ფორმა'!D$4:D$27))+N('მომწოდებლის ფორმა'!$X26)*'მომწოდებლის ფორმა'!$AB26)</f>
        <v/>
      </c>
      <c r="E26" s="21" t="str">
        <f>IF(OR(N('მომწოდებლის ფორმა'!E26)&lt;=0,'მომწოდებლის ფორმა'!$M26="",'მომწოდებლის ფორმა'!$P26="",'მომწოდებლის ფორმა'!$Z26=""),"",MAX(('მომწოდებლის ფორმა'!E26+$B$33+IF('მომწოდებლის ფორმა'!$Q26="",0,30/'მომწოდებლის ფორმა'!$Q26*$B$34))/'მომწოდებლის ფორმა'!$M26,30/'მომწოდებლის ფორმა'!$P26)*'მომწოდებლის ფორმა'!$Z26/'მომწოდებლის ფორმა'!E26+IF(OR('მომწოდებლის ფორმა'!$R26="",N('მომწოდებლის ფორმა'!$S26)=0,N('მომწოდებლის ფორმა'!$T26)=0),0,'მომწოდებლის ფორმა'!$S26*'მომწოდებლის ფორმა'!$AB26*30/'მომწოდებლის ფორმა'!$T26/SUMIF('მომწოდებლის ფორმა'!$R$4:$R$27,'მომწოდებლის ფორმა'!$R26,'მომწოდებლის ფორმა'!E$4:E$27))+IF(OR('მომწოდებლის ფორმა'!$U26="",N('მომწოდებლის ფორმა'!$V26)=0,N('მომწოდებლის ფორმა'!$W26)=0),0,'მომწოდებლის ფორმა'!$V26*'მომწოდებლის ფორმა'!$AB26*30/'მომწოდებლის ფორმა'!$W26/SUMIF('მომწოდებლის ფორმა'!$U$4:$U$27,'მომწოდებლის ფორმა'!$U26,'მომწოდებლის ფორმა'!E$4:E$27))+N('მომწოდებლის ფორმა'!$X26)*'მომწოდებლის ფორმა'!$AB26)</f>
        <v/>
      </c>
      <c r="F26" s="21" t="str">
        <f>IF(OR(N('მომწოდებლის ფორმა'!F26)&lt;=0,'მომწოდებლის ფორმა'!$M26="",'მომწოდებლის ფორმა'!$P26="",'მომწოდებლის ფორმა'!$Z26=""),"",MAX(('მომწოდებლის ფორმა'!F26+$B$33+IF('მომწოდებლის ფორმა'!$Q26="",0,30/'მომწოდებლის ფორმა'!$Q26*$B$34))/'მომწოდებლის ფორმა'!$M26,30/'მომწოდებლის ფორმა'!$P26)*'მომწოდებლის ფორმა'!$Z26/'მომწოდებლის ფორმა'!F26+IF(OR('მომწოდებლის ფორმა'!$R26="",N('მომწოდებლის ფორმა'!$S26)=0,N('მომწოდებლის ფორმა'!$T26)=0),0,'მომწოდებლის ფორმა'!$S26*'მომწოდებლის ფორმა'!$AB26*30/'მომწოდებლის ფორმა'!$T26/SUMIF('მომწოდებლის ფორმა'!$R$4:$R$27,'მომწოდებლის ფორმა'!$R26,'მომწოდებლის ფორმა'!F$4:F$27))+IF(OR('მომწოდებლის ფორმა'!$U26="",N('მომწოდებლის ფორმა'!$V26)=0,N('მომწოდებლის ფორმა'!$W26)=0),0,'მომწოდებლის ფორმა'!$V26*'მომწოდებლის ფორმა'!$AB26*30/'მომწოდებლის ფორმა'!$W26/SUMIF('მომწოდებლის ფორმა'!$U$4:$U$27,'მომწოდებლის ფორმა'!$U26,'მომწოდებლის ფორმა'!F$4:F$27))+N('მომწოდებლის ფორმა'!$X26)*'მომწოდებლის ფორმა'!$AB26)</f>
        <v/>
      </c>
      <c r="G26" s="21" t="str">
        <f>IF(OR(N('მომწოდებლის ფორმა'!G26)&lt;=0,'მომწოდებლის ფორმა'!$M26="",'მომწოდებლის ფორმა'!$P26="",'მომწოდებლის ფორმა'!$Z26=""),"",MAX(('მომწოდებლის ფორმა'!G26+$B$33+IF('მომწოდებლის ფორმა'!$Q26="",0,30/'მომწოდებლის ფორმა'!$Q26*$B$34))/'მომწოდებლის ფორმა'!$M26,30/'მომწოდებლის ფორმა'!$P26)*'მომწოდებლის ფორმა'!$Z26/'მომწოდებლის ფორმა'!G26+IF(OR('მომწოდებლის ფორმა'!$R26="",N('მომწოდებლის ფორმა'!$S26)=0,N('მომწოდებლის ფორმა'!$T26)=0),0,'მომწოდებლის ფორმა'!$S26*'მომწოდებლის ფორმა'!$AB26*30/'მომწოდებლის ფორმა'!$T26/SUMIF('მომწოდებლის ფორმა'!$R$4:$R$27,'მომწოდებლის ფორმა'!$R26,'მომწოდებლის ფორმა'!G$4:G$27))+IF(OR('მომწოდებლის ფორმა'!$U26="",N('მომწოდებლის ფორმა'!$V26)=0,N('მომწოდებლის ფორმა'!$W26)=0),0,'მომწოდებლის ფორმა'!$V26*'მომწოდებლის ფორმა'!$AB26*30/'მომწოდებლის ფორმა'!$W26/SUMIF('მომწოდებლის ფორმა'!$U$4:$U$27,'მომწოდებლის ფორმა'!$U26,'მომწოდებლის ფორმა'!G$4:G$27))+N('მომწოდებლის ფორმა'!$X26)*'მომწოდებლის ფორმა'!$AB26)</f>
        <v/>
      </c>
      <c r="H26" s="21" t="str">
        <f>IF(OR(N('მომწოდებლის ფორმა'!H26)&lt;=0,'მომწოდებლის ფორმა'!$M26="",'მომწოდებლის ფორმა'!$P26="",'მომწოდებლის ფორმა'!$Z26=""),"",MAX(('მომწოდებლის ფორმა'!H26+$B$33+IF('მომწოდებლის ფორმა'!$Q26="",0,30/'მომწოდებლის ფორმა'!$Q26*$B$34))/'მომწოდებლის ფორმა'!$M26,30/'მომწოდებლის ფორმა'!$P26)*'მომწოდებლის ფორმა'!$Z26/'მომწოდებლის ფორმა'!H26+IF(OR('მომწოდებლის ფორმა'!$R26="",N('მომწოდებლის ფორმა'!$S26)=0,N('მომწოდებლის ფორმა'!$T26)=0),0,'მომწოდებლის ფორმა'!$S26*'მომწოდებლის ფორმა'!$AB26*30/'მომწოდებლის ფორმა'!$T26/SUMIF('მომწოდებლის ფორმა'!$R$4:$R$27,'მომწოდებლის ფორმა'!$R26,'მომწოდებლის ფორმა'!H$4:H$27))+IF(OR('მომწოდებლის ფორმა'!$U26="",N('მომწოდებლის ფორმა'!$V26)=0,N('მომწოდებლის ფორმა'!$W26)=0),0,'მომწოდებლის ფორმა'!$V26*'მომწოდებლის ფორმა'!$AB26*30/'მომწოდებლის ფორმა'!$W26/SUMIF('მომწოდებლის ფორმა'!$U$4:$U$27,'მომწოდებლის ფორმა'!$U26,'მომწოდებლის ფორმა'!H$4:H$27))+N('მომწოდებლის ფორმა'!$X26)*'მომწოდებლის ფორმა'!$AB26)</f>
        <v/>
      </c>
      <c r="I26" s="21" t="str">
        <f>IF(OR(N('მომწოდებლის ფორმა'!I26)&lt;=0,'მომწოდებლის ფორმა'!$M26="",'მომწოდებლის ფორმა'!$P26="",'მომწოდებლის ფორმა'!$Z26=""),"",MAX(('მომწოდებლის ფორმა'!I26+$B$33+IF('მომწოდებლის ფორმა'!$Q26="",0,30/'მომწოდებლის ფორმა'!$Q26*$B$34))/'მომწოდებლის ფორმა'!$M26,30/'მომწოდებლის ფორმა'!$P26)*'მომწოდებლის ფორმა'!$Z26/'მომწოდებლის ფორმა'!I26+IF(OR('მომწოდებლის ფორმა'!$R26="",N('მომწოდებლის ფორმა'!$S26)=0,N('მომწოდებლის ფორმა'!$T26)=0),0,'მომწოდებლის ფორმა'!$S26*'მომწოდებლის ფორმა'!$AB26*30/'მომწოდებლის ფორმა'!$T26/SUMIF('მომწოდებლის ფორმა'!$R$4:$R$27,'მომწოდებლის ფორმა'!$R26,'მომწოდებლის ფორმა'!I$4:I$27))+IF(OR('მომწოდებლის ფორმა'!$U26="",N('მომწოდებლის ფორმა'!$V26)=0,N('მომწოდებლის ფორმა'!$W26)=0),0,'მომწოდებლის ფორმა'!$V26*'მომწოდებლის ფორმა'!$AB26*30/'მომწოდებლის ფორმა'!$W26/SUMIF('მომწოდებლის ფორმა'!$U$4:$U$27,'მომწოდებლის ფორმა'!$U26,'მომწოდებლის ფორმა'!I$4:I$27))+N('მომწოდებლის ფორმა'!$X26)*'მომწოდებლის ფორმა'!$AB26)</f>
        <v/>
      </c>
    </row>
    <row r="27" spans="1:9" x14ac:dyDescent="0.3">
      <c r="A27" s="31" t="str">
        <f>'მომწოდებლის ფორმა'!A27</f>
        <v>ანტისტრეპტოლიზინი - O  ASLO</v>
      </c>
      <c r="B27" s="21" t="str">
        <f>IF(OR(N('მომწოდებლის ფორმა'!B27)&lt;=0,'მომწოდებლის ფორმა'!$M27="",'მომწოდებლის ფორმა'!$P27="",'მომწოდებლის ფორმა'!$Z27=""),"",MAX(('მომწოდებლის ფორმა'!B27+$B$33+IF('მომწოდებლის ფორმა'!$Q27="",0,30/'მომწოდებლის ფორმა'!$Q27*$B$34))/'მომწოდებლის ფორმა'!$M27,30/'მომწოდებლის ფორმა'!$P27)*'მომწოდებლის ფორმა'!$Z27/'მომწოდებლის ფორმა'!B27+IF(OR('მომწოდებლის ფორმა'!$R27="",N('მომწოდებლის ფორმა'!$S27)=0,N('მომწოდებლის ფორმა'!$T27)=0),0,'მომწოდებლის ფორმა'!$S27*'მომწოდებლის ფორმა'!$AB27*30/'მომწოდებლის ფორმა'!$T27/SUMIF('მომწოდებლის ფორმა'!$R$4:$R$27,'მომწოდებლის ფორმა'!$R27,'მომწოდებლის ფორმა'!B$4:B$27))+IF(OR('მომწოდებლის ფორმა'!$U27="",N('მომწოდებლის ფორმა'!$V27)=0,N('მომწოდებლის ფორმა'!$W27)=0),0,'მომწოდებლის ფორმა'!$V27*'მომწოდებლის ფორმა'!$AB27*30/'მომწოდებლის ფორმა'!$W27/SUMIF('მომწოდებლის ფორმა'!$U$4:$U$27,'მომწოდებლის ფორმა'!$U27,'მომწოდებლის ფორმა'!B$4:B$27))+N('მომწოდებლის ფორმა'!$X27)*'მომწოდებლის ფორმა'!$AB27)</f>
        <v/>
      </c>
      <c r="C27" s="21" t="str">
        <f>IF(OR(N('მომწოდებლის ფორმა'!C27)&lt;=0,'მომწოდებლის ფორმა'!$M27="",'მომწოდებლის ფორმა'!$P27="",'მომწოდებლის ფორმა'!$Z27=""),"",MAX(('მომწოდებლის ფორმა'!C27+$B$33+IF('მომწოდებლის ფორმა'!$Q27="",0,30/'მომწოდებლის ფორმა'!$Q27*$B$34))/'მომწოდებლის ფორმა'!$M27,30/'მომწოდებლის ფორმა'!$P27)*'მომწოდებლის ფორმა'!$Z27/'მომწოდებლის ფორმა'!C27+IF(OR('მომწოდებლის ფორმა'!$R27="",N('მომწოდებლის ფორმა'!$S27)=0,N('მომწოდებლის ფორმა'!$T27)=0),0,'მომწოდებლის ფორმა'!$S27*'მომწოდებლის ფორმა'!$AB27*30/'მომწოდებლის ფორმა'!$T27/SUMIF('მომწოდებლის ფორმა'!$R$4:$R$27,'მომწოდებლის ფორმა'!$R27,'მომწოდებლის ფორმა'!C$4:C$27))+IF(OR('მომწოდებლის ფორმა'!$U27="",N('მომწოდებლის ფორმა'!$V27)=0,N('მომწოდებლის ფორმა'!$W27)=0),0,'მომწოდებლის ფორმა'!$V27*'მომწოდებლის ფორმა'!$AB27*30/'მომწოდებლის ფორმა'!$W27/SUMIF('მომწოდებლის ფორმა'!$U$4:$U$27,'მომწოდებლის ფორმა'!$U27,'მომწოდებლის ფორმა'!C$4:C$27))+N('მომწოდებლის ფორმა'!$X27)*'მომწოდებლის ფორმა'!$AB27)</f>
        <v/>
      </c>
      <c r="D27" s="21" t="str">
        <f>IF(OR(N('მომწოდებლის ფორმა'!D27)&lt;=0,'მომწოდებლის ფორმა'!$M27="",'მომწოდებლის ფორმა'!$P27="",'მომწოდებლის ფორმა'!$Z27=""),"",MAX(('მომწოდებლის ფორმა'!D27+$B$33+IF('მომწოდებლის ფორმა'!$Q27="",0,30/'მომწოდებლის ფორმა'!$Q27*$B$34))/'მომწოდებლის ფორმა'!$M27,30/'მომწოდებლის ფორმა'!$P27)*'მომწოდებლის ფორმა'!$Z27/'მომწოდებლის ფორმა'!D27+IF(OR('მომწოდებლის ფორმა'!$R27="",N('მომწოდებლის ფორმა'!$S27)=0,N('მომწოდებლის ფორმა'!$T27)=0),0,'მომწოდებლის ფორმა'!$S27*'მომწოდებლის ფორმა'!$AB27*30/'მომწოდებლის ფორმა'!$T27/SUMIF('მომწოდებლის ფორმა'!$R$4:$R$27,'მომწოდებლის ფორმა'!$R27,'მომწოდებლის ფორმა'!D$4:D$27))+IF(OR('მომწოდებლის ფორმა'!$U27="",N('მომწოდებლის ფორმა'!$V27)=0,N('მომწოდებლის ფორმა'!$W27)=0),0,'მომწოდებლის ფორმა'!$V27*'მომწოდებლის ფორმა'!$AB27*30/'მომწოდებლის ფორმა'!$W27/SUMIF('მომწოდებლის ფორმა'!$U$4:$U$27,'მომწოდებლის ფორმა'!$U27,'მომწოდებლის ფორმა'!D$4:D$27))+N('მომწოდებლის ფორმა'!$X27)*'მომწოდებლის ფორმა'!$AB27)</f>
        <v/>
      </c>
      <c r="E27" s="21" t="str">
        <f>IF(OR(N('მომწოდებლის ფორმა'!E27)&lt;=0,'მომწოდებლის ფორმა'!$M27="",'მომწოდებლის ფორმა'!$P27="",'მომწოდებლის ფორმა'!$Z27=""),"",MAX(('მომწოდებლის ფორმა'!E27+$B$33+IF('მომწოდებლის ფორმა'!$Q27="",0,30/'მომწოდებლის ფორმა'!$Q27*$B$34))/'მომწოდებლის ფორმა'!$M27,30/'მომწოდებლის ფორმა'!$P27)*'მომწოდებლის ფორმა'!$Z27/'მომწოდებლის ფორმა'!E27+IF(OR('მომწოდებლის ფორმა'!$R27="",N('მომწოდებლის ფორმა'!$S27)=0,N('მომწოდებლის ფორმა'!$T27)=0),0,'მომწოდებლის ფორმა'!$S27*'მომწოდებლის ფორმა'!$AB27*30/'მომწოდებლის ფორმა'!$T27/SUMIF('მომწოდებლის ფორმა'!$R$4:$R$27,'მომწოდებლის ფორმა'!$R27,'მომწოდებლის ფორმა'!E$4:E$27))+IF(OR('მომწოდებლის ფორმა'!$U27="",N('მომწოდებლის ფორმა'!$V27)=0,N('მომწოდებლის ფორმა'!$W27)=0),0,'მომწოდებლის ფორმა'!$V27*'მომწოდებლის ფორმა'!$AB27*30/'მომწოდებლის ფორმა'!$W27/SUMIF('მომწოდებლის ფორმა'!$U$4:$U$27,'მომწოდებლის ფორმა'!$U27,'მომწოდებლის ფორმა'!E$4:E$27))+N('მომწოდებლის ფორმა'!$X27)*'მომწოდებლის ფორმა'!$AB27)</f>
        <v/>
      </c>
      <c r="F27" s="21" t="str">
        <f>IF(OR(N('მომწოდებლის ფორმა'!F27)&lt;=0,'მომწოდებლის ფორმა'!$M27="",'მომწოდებლის ფორმა'!$P27="",'მომწოდებლის ფორმა'!$Z27=""),"",MAX(('მომწოდებლის ფორმა'!F27+$B$33+IF('მომწოდებლის ფორმა'!$Q27="",0,30/'მომწოდებლის ფორმა'!$Q27*$B$34))/'მომწოდებლის ფორმა'!$M27,30/'მომწოდებლის ფორმა'!$P27)*'მომწოდებლის ფორმა'!$Z27/'მომწოდებლის ფორმა'!F27+IF(OR('მომწოდებლის ფორმა'!$R27="",N('მომწოდებლის ფორმა'!$S27)=0,N('მომწოდებლის ფორმა'!$T27)=0),0,'მომწოდებლის ფორმა'!$S27*'მომწოდებლის ფორმა'!$AB27*30/'მომწოდებლის ფორმა'!$T27/SUMIF('მომწოდებლის ფორმა'!$R$4:$R$27,'მომწოდებლის ფორმა'!$R27,'მომწოდებლის ფორმა'!F$4:F$27))+IF(OR('მომწოდებლის ფორმა'!$U27="",N('მომწოდებლის ფორმა'!$V27)=0,N('მომწოდებლის ფორმა'!$W27)=0),0,'მომწოდებლის ფორმა'!$V27*'მომწოდებლის ფორმა'!$AB27*30/'მომწოდებლის ფორმა'!$W27/SUMIF('მომწოდებლის ფორმა'!$U$4:$U$27,'მომწოდებლის ფორმა'!$U27,'მომწოდებლის ფორმა'!F$4:F$27))+N('მომწოდებლის ფორმა'!$X27)*'მომწოდებლის ფორმა'!$AB27)</f>
        <v/>
      </c>
      <c r="G27" s="21" t="str">
        <f>IF(OR(N('მომწოდებლის ფორმა'!G27)&lt;=0,'მომწოდებლის ფორმა'!$M27="",'მომწოდებლის ფორმა'!$P27="",'მომწოდებლის ფორმა'!$Z27=""),"",MAX(('მომწოდებლის ფორმა'!G27+$B$33+IF('მომწოდებლის ფორმა'!$Q27="",0,30/'მომწოდებლის ფორმა'!$Q27*$B$34))/'მომწოდებლის ფორმა'!$M27,30/'მომწოდებლის ფორმა'!$P27)*'მომწოდებლის ფორმა'!$Z27/'მომწოდებლის ფორმა'!G27+IF(OR('მომწოდებლის ფორმა'!$R27="",N('მომწოდებლის ფორმა'!$S27)=0,N('მომწოდებლის ფორმა'!$T27)=0),0,'მომწოდებლის ფორმა'!$S27*'მომწოდებლის ფორმა'!$AB27*30/'მომწოდებლის ფორმა'!$T27/SUMIF('მომწოდებლის ფორმა'!$R$4:$R$27,'მომწოდებლის ფორმა'!$R27,'მომწოდებლის ფორმა'!G$4:G$27))+IF(OR('მომწოდებლის ფორმა'!$U27="",N('მომწოდებლის ფორმა'!$V27)=0,N('მომწოდებლის ფორმა'!$W27)=0),0,'მომწოდებლის ფორმა'!$V27*'მომწოდებლის ფორმა'!$AB27*30/'მომწოდებლის ფორმა'!$W27/SUMIF('მომწოდებლის ფორმა'!$U$4:$U$27,'მომწოდებლის ფორმა'!$U27,'მომწოდებლის ფორმა'!G$4:G$27))+N('მომწოდებლის ფორმა'!$X27)*'მომწოდებლის ფორმა'!$AB27)</f>
        <v/>
      </c>
      <c r="H27" s="21" t="str">
        <f>IF(OR(N('მომწოდებლის ფორმა'!H27)&lt;=0,'მომწოდებლის ფორმა'!$M27="",'მომწოდებლის ფორმა'!$P27="",'მომწოდებლის ფორმა'!$Z27=""),"",MAX(('მომწოდებლის ფორმა'!H27+$B$33+IF('მომწოდებლის ფორმა'!$Q27="",0,30/'მომწოდებლის ფორმა'!$Q27*$B$34))/'მომწოდებლის ფორმა'!$M27,30/'მომწოდებლის ფორმა'!$P27)*'მომწოდებლის ფორმა'!$Z27/'მომწოდებლის ფორმა'!H27+IF(OR('მომწოდებლის ფორმა'!$R27="",N('მომწოდებლის ფორმა'!$S27)=0,N('მომწოდებლის ფორმა'!$T27)=0),0,'მომწოდებლის ფორმა'!$S27*'მომწოდებლის ფორმა'!$AB27*30/'მომწოდებლის ფორმა'!$T27/SUMIF('მომწოდებლის ფორმა'!$R$4:$R$27,'მომწოდებლის ფორმა'!$R27,'მომწოდებლის ფორმა'!H$4:H$27))+IF(OR('მომწოდებლის ფორმა'!$U27="",N('მომწოდებლის ფორმა'!$V27)=0,N('მომწოდებლის ფორმა'!$W27)=0),0,'მომწოდებლის ფორმა'!$V27*'მომწოდებლის ფორმა'!$AB27*30/'მომწოდებლის ფორმა'!$W27/SUMIF('მომწოდებლის ფორმა'!$U$4:$U$27,'მომწოდებლის ფორმა'!$U27,'მომწოდებლის ფორმა'!H$4:H$27))+N('მომწოდებლის ფორმა'!$X27)*'მომწოდებლის ფორმა'!$AB27)</f>
        <v/>
      </c>
      <c r="I27" s="21" t="str">
        <f>IF(OR(N('მომწოდებლის ფორმა'!I27)&lt;=0,'მომწოდებლის ფორმა'!$M27="",'მომწოდებლის ფორმა'!$P27="",'მომწოდებლის ფორმა'!$Z27=""),"",MAX(('მომწოდებლის ფორმა'!I27+$B$33+IF('მომწოდებლის ფორმა'!$Q27="",0,30/'მომწოდებლის ფორმა'!$Q27*$B$34))/'მომწოდებლის ფორმა'!$M27,30/'მომწოდებლის ფორმა'!$P27)*'მომწოდებლის ფორმა'!$Z27/'მომწოდებლის ფორმა'!I27+IF(OR('მომწოდებლის ფორმა'!$R27="",N('მომწოდებლის ფორმა'!$S27)=0,N('მომწოდებლის ფორმა'!$T27)=0),0,'მომწოდებლის ფორმა'!$S27*'მომწოდებლის ფორმა'!$AB27*30/'მომწოდებლის ფორმა'!$T27/SUMIF('მომწოდებლის ფორმა'!$R$4:$R$27,'მომწოდებლის ფორმა'!$R27,'მომწოდებლის ფორმა'!I$4:I$27))+IF(OR('მომწოდებლის ფორმა'!$U27="",N('მომწოდებლის ფორმა'!$V27)=0,N('მომწოდებლის ფორმა'!$W27)=0),0,'მომწოდებლის ფორმა'!$V27*'მომწოდებლის ფორმა'!$AB27*30/'მომწოდებლის ფორმა'!$W27/SUMIF('მომწოდებლის ფორმა'!$U$4:$U$27,'მომწოდებლის ფორმა'!$U27,'მომწოდებლის ფორმა'!I$4:I$27))+N('მომწოდებლის ფორმა'!$X27)*'მომწოდებლის ფორმა'!$AB27)</f>
        <v/>
      </c>
    </row>
    <row r="28" spans="1:9" x14ac:dyDescent="0.3">
      <c r="A28" s="32" t="s">
        <v>108</v>
      </c>
      <c r="B28" s="33">
        <f>SUMPRODUCT('მომწოდებლის ფორმა'!B4:B27,B4:B27)</f>
        <v>0</v>
      </c>
      <c r="C28" s="33">
        <f>SUMPRODUCT('მომწოდებლის ფორმა'!C4:C27,C4:C27)</f>
        <v>0</v>
      </c>
      <c r="D28" s="33">
        <f>SUMPRODUCT('მომწოდებლის ფორმა'!D4:D27,D4:D27)</f>
        <v>0</v>
      </c>
      <c r="E28" s="33">
        <f>SUMPRODUCT('მომწოდებლის ფორმა'!E4:E27,E4:E27)</f>
        <v>0</v>
      </c>
      <c r="F28" s="33">
        <f>SUMPRODUCT('მომწოდებლის ფორმა'!F4:F27,F4:F27)</f>
        <v>0</v>
      </c>
      <c r="G28" s="33">
        <f>SUMPRODUCT('მომწოდებლის ფორმა'!G4:G27,G4:G27)</f>
        <v>0</v>
      </c>
      <c r="H28" s="33">
        <f>SUMPRODUCT('მომწოდებლის ფორმა'!H4:H27,H4:H27)</f>
        <v>0</v>
      </c>
      <c r="I28" s="33">
        <f>SUMPRODUCT('მომწოდებლის ფორმა'!I4:I27,I4:I27)</f>
        <v>0</v>
      </c>
    </row>
    <row r="29" spans="1:9" ht="28.5" customHeight="1" x14ac:dyDescent="0.3">
      <c r="A29" s="32" t="s">
        <v>109</v>
      </c>
      <c r="B29" s="33">
        <f t="shared" ref="B29:I29" si="0">B28*$B$32</f>
        <v>0</v>
      </c>
      <c r="C29" s="33">
        <f t="shared" si="0"/>
        <v>0</v>
      </c>
      <c r="D29" s="33">
        <f t="shared" si="0"/>
        <v>0</v>
      </c>
      <c r="E29" s="33">
        <f t="shared" si="0"/>
        <v>0</v>
      </c>
      <c r="F29" s="33">
        <f t="shared" si="0"/>
        <v>0</v>
      </c>
      <c r="G29" s="33">
        <f t="shared" si="0"/>
        <v>0</v>
      </c>
      <c r="H29" s="33">
        <f t="shared" si="0"/>
        <v>0</v>
      </c>
      <c r="I29" s="33">
        <f t="shared" si="0"/>
        <v>0</v>
      </c>
    </row>
    <row r="31" spans="1:9" ht="28.5" customHeight="1" x14ac:dyDescent="0.3">
      <c r="A31" s="34" t="s">
        <v>110</v>
      </c>
      <c r="B31" s="35"/>
    </row>
    <row r="32" spans="1:9" x14ac:dyDescent="0.3">
      <c r="A32" s="31" t="s">
        <v>111</v>
      </c>
      <c r="B32" s="36">
        <v>24</v>
      </c>
    </row>
    <row r="33" spans="1:2" ht="28.5" customHeight="1" x14ac:dyDescent="0.3">
      <c r="A33" s="31" t="s">
        <v>112</v>
      </c>
      <c r="B33" s="36">
        <v>60</v>
      </c>
    </row>
    <row r="34" spans="1:2" x14ac:dyDescent="0.3">
      <c r="A34" s="31" t="s">
        <v>113</v>
      </c>
      <c r="B34" s="36">
        <v>2</v>
      </c>
    </row>
    <row r="35" spans="1:2" x14ac:dyDescent="0.3">
      <c r="A35" s="6"/>
    </row>
  </sheetData>
  <sheetProtection sheet="1" objects="1" scenarios="1" formatColumns="0" formatRows="0"/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3"/>
  <sheetViews>
    <sheetView topLeftCell="A50" zoomScaleNormal="100" workbookViewId="0">
      <selection activeCell="B89" sqref="B89"/>
    </sheetView>
  </sheetViews>
  <sheetFormatPr defaultColWidth="8.6640625" defaultRowHeight="14.4" x14ac:dyDescent="0.3"/>
  <cols>
    <col min="1" max="1" width="48" customWidth="1"/>
    <col min="2" max="10" width="13" customWidth="1"/>
    <col min="11" max="11" width="18.44140625" customWidth="1"/>
    <col min="12" max="14" width="16" customWidth="1"/>
  </cols>
  <sheetData>
    <row r="1" spans="1:14" ht="17.25" customHeight="1" x14ac:dyDescent="0.35">
      <c r="A1" s="37" t="s">
        <v>114</v>
      </c>
    </row>
    <row r="2" spans="1:14" x14ac:dyDescent="0.3">
      <c r="A2" s="38" t="s">
        <v>115</v>
      </c>
    </row>
    <row r="4" spans="1:14" x14ac:dyDescent="0.3">
      <c r="A4" s="39" t="s">
        <v>116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ht="45" customHeight="1" x14ac:dyDescent="0.3">
      <c r="A5" s="41" t="s">
        <v>117</v>
      </c>
      <c r="B5" s="41" t="str">
        <f>'მომწოდებლის ფორმა'!B2</f>
        <v>ACH</v>
      </c>
      <c r="C5" s="41" t="str">
        <f>'მომწოდებლის ფორმა'!C2</f>
        <v>TLH</v>
      </c>
      <c r="D5" s="41" t="str">
        <f>'მომწოდებლის ფორმა'!D2</f>
        <v>XRH</v>
      </c>
      <c r="E5" s="41" t="str">
        <f>'მომწოდებლის ფორმა'!E2</f>
        <v>ZURH</v>
      </c>
      <c r="F5" s="41" t="str">
        <f>'მომწოდებლის ფორმა'!F2</f>
        <v>GRH</v>
      </c>
      <c r="G5" s="41" t="str">
        <f>'მომწოდებლის ფორმა'!G2</f>
        <v xml:space="preserve">KRH </v>
      </c>
      <c r="H5" s="41" t="str">
        <f>'მომწოდებლის ფორმა'!H2</f>
        <v>TCH</v>
      </c>
      <c r="I5" s="41" t="str">
        <f>'მომწოდებლის ფორმა'!I2</f>
        <v>QBH</v>
      </c>
      <c r="J5" s="41" t="s">
        <v>118</v>
      </c>
      <c r="K5" s="41" t="s">
        <v>119</v>
      </c>
      <c r="L5" s="41" t="s">
        <v>120</v>
      </c>
      <c r="M5" s="41" t="s">
        <v>121</v>
      </c>
      <c r="N5" s="41" t="s">
        <v>122</v>
      </c>
    </row>
    <row r="6" spans="1:14" x14ac:dyDescent="0.3">
      <c r="A6" s="42" t="str">
        <f>'მომწოდებლის ფორმა'!A4</f>
        <v>ლიპაზის განსაზღვრა  - Lipase</v>
      </c>
      <c r="B6" s="43">
        <f>IF(OR(N('მომწოდებლის ფორმა'!B4)&lt;=0,N('მომწოდებლის ფორმა'!$M4)=0,N('მომწოდებლის ფორმა'!$P4)=0),0,CEILING(MAX(('მომწოდებლის ფორმა'!B4+'ფასი კლინიკებით'!$B$33+IF(N('მომწოდებლის ფორმა'!$Q4)=0,0,30/'მომწოდებლის ფორმა'!$Q4*'ფასი კლინიკებით'!$B$34))/'მომწოდებლის ფორმა'!$M4,30/'მომწოდებლის ფორმა'!$P4),1))</f>
        <v>0</v>
      </c>
      <c r="C6" s="43">
        <f>IF(OR(N('მომწოდებლის ფორმა'!C4)&lt;=0,N('მომწოდებლის ფორმა'!$M4)=0,N('მომწოდებლის ფორმა'!$P4)=0),0,CEILING(MAX(('მომწოდებლის ფორმა'!C4+'ფასი კლინიკებით'!$B$33+IF(N('მომწოდებლის ფორმა'!$Q4)=0,0,30/'მომწოდებლის ფორმა'!$Q4*'ფასი კლინიკებით'!$B$34))/'მომწოდებლის ფორმა'!$M4,30/'მომწოდებლის ფორმა'!$P4),1))</f>
        <v>0</v>
      </c>
      <c r="D6" s="43">
        <f>IF(OR(N('მომწოდებლის ფორმა'!D4)&lt;=0,N('მომწოდებლის ფორმა'!$M4)=0,N('მომწოდებლის ფორმა'!$P4)=0),0,CEILING(MAX(('მომწოდებლის ფორმა'!D4+'ფასი კლინიკებით'!$B$33+IF(N('მომწოდებლის ფორმა'!$Q4)=0,0,30/'მომწოდებლის ფორმა'!$Q4*'ფასი კლინიკებით'!$B$34))/'მომწოდებლის ფორმა'!$M4,30/'მომწოდებლის ფორმა'!$P4),1))</f>
        <v>0</v>
      </c>
      <c r="E6" s="43">
        <f>IF(OR(N('მომწოდებლის ფორმა'!E4)&lt;=0,N('მომწოდებლის ფორმა'!$M4)=0,N('მომწოდებლის ფორმა'!$P4)=0),0,CEILING(MAX(('მომწოდებლის ფორმა'!E4+'ფასი კლინიკებით'!$B$33+IF(N('მომწოდებლის ფორმა'!$Q4)=0,0,30/'მომწოდებლის ფორმა'!$Q4*'ფასი კლინიკებით'!$B$34))/'მომწოდებლის ფორმა'!$M4,30/'მომწოდებლის ფორმა'!$P4),1))</f>
        <v>0</v>
      </c>
      <c r="F6" s="43">
        <f>IF(OR(N('მომწოდებლის ფორმა'!F4)&lt;=0,N('მომწოდებლის ფორმა'!$M4)=0,N('მომწოდებლის ფორმა'!$P4)=0),0,CEILING(MAX(('მომწოდებლის ფორმა'!F4+'ფასი კლინიკებით'!$B$33+IF(N('მომწოდებლის ფორმა'!$Q4)=0,0,30/'მომწოდებლის ფორმა'!$Q4*'ფასი კლინიკებით'!$B$34))/'მომწოდებლის ფორმა'!$M4,30/'მომწოდებლის ფორმა'!$P4),1))</f>
        <v>0</v>
      </c>
      <c r="G6" s="43">
        <f>IF(OR(N('მომწოდებლის ფორმა'!G4)&lt;=0,N('მომწოდებლის ფორმა'!$M4)=0,N('მომწოდებლის ფორმა'!$P4)=0),0,CEILING(MAX(('მომწოდებლის ფორმა'!G4+'ფასი კლინიკებით'!$B$33+IF(N('მომწოდებლის ფორმა'!$Q4)=0,0,30/'მომწოდებლის ფორმა'!$Q4*'ფასი კლინიკებით'!$B$34))/'მომწოდებლის ფორმა'!$M4,30/'მომწოდებლის ფორმა'!$P4),1))</f>
        <v>0</v>
      </c>
      <c r="H6" s="43">
        <f>IF(OR(N('მომწოდებლის ფორმა'!H4)&lt;=0,N('მომწოდებლის ფორმა'!$M4)=0,N('მომწოდებლის ფორმა'!$P4)=0),0,CEILING(MAX(('მომწოდებლის ფორმა'!H4+'ფასი კლინიკებით'!$B$33+IF(N('მომწოდებლის ფორმა'!$Q4)=0,0,30/'მომწოდებლის ფორმა'!$Q4*'ფასი კლინიკებით'!$B$34))/'მომწოდებლის ფორმა'!$M4,30/'მომწოდებლის ფორმა'!$P4),1))</f>
        <v>0</v>
      </c>
      <c r="I6" s="43">
        <f>IF(OR(N('მომწოდებლის ფორმა'!I4)&lt;=0,N('მომწოდებლის ფორმა'!$M4)=0,N('მომწოდებლის ფორმა'!$P4)=0),0,CEILING(MAX(('მომწოდებლის ფორმა'!I4+'ფასი კლინიკებით'!$B$33+IF(N('მომწოდებლის ფორმა'!$Q4)=0,0,30/'მომწოდებლის ფორმა'!$Q4*'ფასი კლინიკებით'!$B$34))/'მომწოდებლის ფორმა'!$M4,30/'მომწოდებლის ფორმა'!$P4),1))</f>
        <v>0</v>
      </c>
      <c r="J6" s="43">
        <f t="shared" ref="J6:J29" si="0">SUM(B6:I6)</f>
        <v>0</v>
      </c>
      <c r="K6" s="44">
        <f>IF(N('მომწოდებლის ფორმა'!$K4)=0,0,CEILING(J6/'მომწოდებლის ფორმა'!$K4,1))</f>
        <v>0</v>
      </c>
      <c r="L6" s="45">
        <f>N('მომწოდებლის ფორმა'!$N4)*N('მომწოდებლის ფორმა'!$AB4)</f>
        <v>0</v>
      </c>
      <c r="M6" s="45">
        <f t="shared" ref="M6:M29" si="1">K6*L6</f>
        <v>0</v>
      </c>
      <c r="N6" s="45">
        <f>M6*'ფასი კლინიკებით'!$B$32</f>
        <v>0</v>
      </c>
    </row>
    <row r="7" spans="1:14" x14ac:dyDescent="0.3">
      <c r="A7" s="42" t="str">
        <f>'მომწოდებლის ფორმა'!A5</f>
        <v>გლუკოზა GLU G1</v>
      </c>
      <c r="B7" s="43">
        <f>IF(OR(N('მომწოდებლის ფორმა'!B5)&lt;=0,N('მომწოდებლის ფორმა'!$M5)=0,N('მომწოდებლის ფორმა'!$P5)=0),0,CEILING(MAX(('მომწოდებლის ფორმა'!B5+'ფასი კლინიკებით'!$B$33+IF(N('მომწოდებლის ფორმა'!$Q5)=0,0,30/'მომწოდებლის ფორმა'!$Q5*'ფასი კლინიკებით'!$B$34))/'მომწოდებლის ფორმა'!$M5,30/'მომწოდებლის ფორმა'!$P5),1))</f>
        <v>0</v>
      </c>
      <c r="C7" s="43">
        <f>IF(OR(N('მომწოდებლის ფორმა'!C5)&lt;=0,N('მომწოდებლის ფორმა'!$M5)=0,N('მომწოდებლის ფორმა'!$P5)=0),0,CEILING(MAX(('მომწოდებლის ფორმა'!C5+'ფასი კლინიკებით'!$B$33+IF(N('მომწოდებლის ფორმა'!$Q5)=0,0,30/'მომწოდებლის ფორმა'!$Q5*'ფასი კლინიკებით'!$B$34))/'მომწოდებლის ფორმა'!$M5,30/'მომწოდებლის ფორმა'!$P5),1))</f>
        <v>0</v>
      </c>
      <c r="D7" s="43">
        <f>IF(OR(N('მომწოდებლის ფორმა'!D5)&lt;=0,N('მომწოდებლის ფორმა'!$M5)=0,N('მომწოდებლის ფორმა'!$P5)=0),0,CEILING(MAX(('მომწოდებლის ფორმა'!D5+'ფასი კლინიკებით'!$B$33+IF(N('მომწოდებლის ფორმა'!$Q5)=0,0,30/'მომწოდებლის ფორმა'!$Q5*'ფასი კლინიკებით'!$B$34))/'მომწოდებლის ფორმა'!$M5,30/'მომწოდებლის ფორმა'!$P5),1))</f>
        <v>0</v>
      </c>
      <c r="E7" s="43">
        <f>IF(OR(N('მომწოდებლის ფორმა'!E5)&lt;=0,N('მომწოდებლის ფორმა'!$M5)=0,N('მომწოდებლის ფორმა'!$P5)=0),0,CEILING(MAX(('მომწოდებლის ფორმა'!E5+'ფასი კლინიკებით'!$B$33+IF(N('მომწოდებლის ფორმა'!$Q5)=0,0,30/'მომწოდებლის ფორმა'!$Q5*'ფასი კლინიკებით'!$B$34))/'მომწოდებლის ფორმა'!$M5,30/'მომწოდებლის ფორმა'!$P5),1))</f>
        <v>0</v>
      </c>
      <c r="F7" s="43">
        <f>IF(OR(N('მომწოდებლის ფორმა'!F5)&lt;=0,N('მომწოდებლის ფორმა'!$M5)=0,N('მომწოდებლის ფორმა'!$P5)=0),0,CEILING(MAX(('მომწოდებლის ფორმა'!F5+'ფასი კლინიკებით'!$B$33+IF(N('მომწოდებლის ფორმა'!$Q5)=0,0,30/'მომწოდებლის ფორმა'!$Q5*'ფასი კლინიკებით'!$B$34))/'მომწოდებლის ფორმა'!$M5,30/'მომწოდებლის ფორმა'!$P5),1))</f>
        <v>0</v>
      </c>
      <c r="G7" s="43">
        <f>IF(OR(N('მომწოდებლის ფორმა'!G5)&lt;=0,N('მომწოდებლის ფორმა'!$M5)=0,N('მომწოდებლის ფორმა'!$P5)=0),0,CEILING(MAX(('მომწოდებლის ფორმა'!G5+'ფასი კლინიკებით'!$B$33+IF(N('მომწოდებლის ფორმა'!$Q5)=0,0,30/'მომწოდებლის ფორმა'!$Q5*'ფასი კლინიკებით'!$B$34))/'მომწოდებლის ფორმა'!$M5,30/'მომწოდებლის ფორმა'!$P5),1))</f>
        <v>0</v>
      </c>
      <c r="H7" s="43">
        <f>IF(OR(N('მომწოდებლის ფორმა'!H5)&lt;=0,N('მომწოდებლის ფორმა'!$M5)=0,N('მომწოდებლის ფორმა'!$P5)=0),0,CEILING(MAX(('მომწოდებლის ფორმა'!H5+'ფასი კლინიკებით'!$B$33+IF(N('მომწოდებლის ფორმა'!$Q5)=0,0,30/'მომწოდებლის ფორმა'!$Q5*'ფასი კლინიკებით'!$B$34))/'მომწოდებლის ფორმა'!$M5,30/'მომწოდებლის ფორმა'!$P5),1))</f>
        <v>0</v>
      </c>
      <c r="I7" s="43">
        <f>IF(OR(N('მომწოდებლის ფორმა'!I5)&lt;=0,N('მომწოდებლის ფორმა'!$M5)=0,N('მომწოდებლის ფორმა'!$P5)=0),0,CEILING(MAX(('მომწოდებლის ფორმა'!I5+'ფასი კლინიკებით'!$B$33+IF(N('მომწოდებლის ფორმა'!$Q5)=0,0,30/'მომწოდებლის ფორმა'!$Q5*'ფასი კლინიკებით'!$B$34))/'მომწოდებლის ფორმა'!$M5,30/'მომწოდებლის ფორმა'!$P5),1))</f>
        <v>0</v>
      </c>
      <c r="J7" s="43">
        <f t="shared" si="0"/>
        <v>0</v>
      </c>
      <c r="K7" s="44">
        <f>IF(N('მომწოდებლის ფორმა'!$K5)=0,0,CEILING(J7/'მომწოდებლის ფორმა'!$K5,1))</f>
        <v>0</v>
      </c>
      <c r="L7" s="45">
        <f>N('მომწოდებლის ფორმა'!$N5)*N('მომწოდებლის ფორმა'!$AB5)</f>
        <v>0</v>
      </c>
      <c r="M7" s="45">
        <f t="shared" si="1"/>
        <v>0</v>
      </c>
      <c r="N7" s="45">
        <f>M7*'ფასი კლინიკებით'!$B$32</f>
        <v>0</v>
      </c>
    </row>
    <row r="8" spans="1:14" x14ac:dyDescent="0.3">
      <c r="A8" s="42" t="str">
        <f>'მომწოდებლის ფორმა'!A6</f>
        <v>ალანინ ამინოტრანსფერაზა ALT G1</v>
      </c>
      <c r="B8" s="43">
        <f>IF(OR(N('მომწოდებლის ფორმა'!B6)&lt;=0,N('მომწოდებლის ფორმა'!$M6)=0,N('მომწოდებლის ფორმა'!$P6)=0),0,CEILING(MAX(('მომწოდებლის ფორმა'!B6+'ფასი კლინიკებით'!$B$33+IF(N('მომწოდებლის ფორმა'!$Q6)=0,0,30/'მომწოდებლის ფორმა'!$Q6*'ფასი კლინიკებით'!$B$34))/'მომწოდებლის ფორმა'!$M6,30/'მომწოდებლის ფორმა'!$P6),1))</f>
        <v>0</v>
      </c>
      <c r="C8" s="43">
        <f>IF(OR(N('მომწოდებლის ფორმა'!C6)&lt;=0,N('მომწოდებლის ფორმა'!$M6)=0,N('მომწოდებლის ფორმა'!$P6)=0),0,CEILING(MAX(('მომწოდებლის ფორმა'!C6+'ფასი კლინიკებით'!$B$33+IF(N('მომწოდებლის ფორმა'!$Q6)=0,0,30/'მომწოდებლის ფორმა'!$Q6*'ფასი კლინიკებით'!$B$34))/'მომწოდებლის ფორმა'!$M6,30/'მომწოდებლის ფორმა'!$P6),1))</f>
        <v>0</v>
      </c>
      <c r="D8" s="43">
        <f>IF(OR(N('მომწოდებლის ფორმა'!D6)&lt;=0,N('მომწოდებლის ფორმა'!$M6)=0,N('მომწოდებლის ფორმა'!$P6)=0),0,CEILING(MAX(('მომწოდებლის ფორმა'!D6+'ფასი კლინიკებით'!$B$33+IF(N('მომწოდებლის ფორმა'!$Q6)=0,0,30/'მომწოდებლის ფორმა'!$Q6*'ფასი კლინიკებით'!$B$34))/'მომწოდებლის ფორმა'!$M6,30/'მომწოდებლის ფორმა'!$P6),1))</f>
        <v>0</v>
      </c>
      <c r="E8" s="43">
        <f>IF(OR(N('მომწოდებლის ფორმა'!E6)&lt;=0,N('მომწოდებლის ფორმა'!$M6)=0,N('მომწოდებლის ფორმა'!$P6)=0),0,CEILING(MAX(('მომწოდებლის ფორმა'!E6+'ფასი კლინიკებით'!$B$33+IF(N('მომწოდებლის ფორმა'!$Q6)=0,0,30/'მომწოდებლის ფორმა'!$Q6*'ფასი კლინიკებით'!$B$34))/'მომწოდებლის ფორმა'!$M6,30/'მომწოდებლის ფორმა'!$P6),1))</f>
        <v>0</v>
      </c>
      <c r="F8" s="43">
        <f>IF(OR(N('მომწოდებლის ფორმა'!F6)&lt;=0,N('მომწოდებლის ფორმა'!$M6)=0,N('მომწოდებლის ფორმა'!$P6)=0),0,CEILING(MAX(('მომწოდებლის ფორმა'!F6+'ფასი კლინიკებით'!$B$33+IF(N('მომწოდებლის ფორმა'!$Q6)=0,0,30/'მომწოდებლის ფორმა'!$Q6*'ფასი კლინიკებით'!$B$34))/'მომწოდებლის ფორმა'!$M6,30/'მომწოდებლის ფორმა'!$P6),1))</f>
        <v>0</v>
      </c>
      <c r="G8" s="43">
        <f>IF(OR(N('მომწოდებლის ფორმა'!G6)&lt;=0,N('მომწოდებლის ფორმა'!$M6)=0,N('მომწოდებლის ფორმა'!$P6)=0),0,CEILING(MAX(('მომწოდებლის ფორმა'!G6+'ფასი კლინიკებით'!$B$33+IF(N('მომწოდებლის ფორმა'!$Q6)=0,0,30/'მომწოდებლის ფორმა'!$Q6*'ფასი კლინიკებით'!$B$34))/'მომწოდებლის ფორმა'!$M6,30/'მომწოდებლის ფორმა'!$P6),1))</f>
        <v>0</v>
      </c>
      <c r="H8" s="43">
        <f>IF(OR(N('მომწოდებლის ფორმა'!H6)&lt;=0,N('მომწოდებლის ფორმა'!$M6)=0,N('მომწოდებლის ფორმა'!$P6)=0),0,CEILING(MAX(('მომწოდებლის ფორმა'!H6+'ფასი კლინიკებით'!$B$33+IF(N('მომწოდებლის ფორმა'!$Q6)=0,0,30/'მომწოდებლის ფორმა'!$Q6*'ფასი კლინიკებით'!$B$34))/'მომწოდებლის ფორმა'!$M6,30/'მომწოდებლის ფორმა'!$P6),1))</f>
        <v>0</v>
      </c>
      <c r="I8" s="43">
        <f>IF(OR(N('მომწოდებლის ფორმა'!I6)&lt;=0,N('მომწოდებლის ფორმა'!$M6)=0,N('მომწოდებლის ფორმა'!$P6)=0),0,CEILING(MAX(('მომწოდებლის ფორმა'!I6+'ფასი კლინიკებით'!$B$33+IF(N('მომწოდებლის ფორმა'!$Q6)=0,0,30/'მომწოდებლის ფორმა'!$Q6*'ფასი კლინიკებით'!$B$34))/'მომწოდებლის ფორმა'!$M6,30/'მომწოდებლის ფორმა'!$P6),1))</f>
        <v>0</v>
      </c>
      <c r="J8" s="43">
        <f t="shared" si="0"/>
        <v>0</v>
      </c>
      <c r="K8" s="44">
        <f>IF(N('მომწოდებლის ფორმა'!$K6)=0,0,CEILING(J8/'მომწოდებლის ფორმა'!$K6,1))</f>
        <v>0</v>
      </c>
      <c r="L8" s="45">
        <f>N('მომწოდებლის ფორმა'!$N6)*N('მომწოდებლის ფორმა'!$AB6)</f>
        <v>0</v>
      </c>
      <c r="M8" s="45">
        <f t="shared" si="1"/>
        <v>0</v>
      </c>
      <c r="N8" s="45">
        <f>M8*'ფასი კლინიკებით'!$B$32</f>
        <v>0</v>
      </c>
    </row>
    <row r="9" spans="1:14" x14ac:dyDescent="0.3">
      <c r="A9" s="42" t="str">
        <f>'მომწოდებლის ფორმა'!A7</f>
        <v>ასპარტატ ამინოტრანსფერაზა AST G1</v>
      </c>
      <c r="B9" s="43">
        <f>IF(OR(N('მომწოდებლის ფორმა'!B7)&lt;=0,N('მომწოდებლის ფორმა'!$M7)=0,N('მომწოდებლის ფორმა'!$P7)=0),0,CEILING(MAX(('მომწოდებლის ფორმა'!B7+'ფასი კლინიკებით'!$B$33+IF(N('მომწოდებლის ფორმა'!$Q7)=0,0,30/'მომწოდებლის ფორმა'!$Q7*'ფასი კლინიკებით'!$B$34))/'მომწოდებლის ფორმა'!$M7,30/'მომწოდებლის ფორმა'!$P7),1))</f>
        <v>0</v>
      </c>
      <c r="C9" s="43">
        <f>IF(OR(N('მომწოდებლის ფორმა'!C7)&lt;=0,N('მომწოდებლის ფორმა'!$M7)=0,N('მომწოდებლის ფორმა'!$P7)=0),0,CEILING(MAX(('მომწოდებლის ფორმა'!C7+'ფასი კლინიკებით'!$B$33+IF(N('მომწოდებლის ფორმა'!$Q7)=0,0,30/'მომწოდებლის ფორმა'!$Q7*'ფასი კლინიკებით'!$B$34))/'მომწოდებლის ფორმა'!$M7,30/'მომწოდებლის ფორმა'!$P7),1))</f>
        <v>0</v>
      </c>
      <c r="D9" s="43">
        <f>IF(OR(N('მომწოდებლის ფორმა'!D7)&lt;=0,N('მომწოდებლის ფორმა'!$M7)=0,N('მომწოდებლის ფორმა'!$P7)=0),0,CEILING(MAX(('მომწოდებლის ფორმა'!D7+'ფასი კლინიკებით'!$B$33+IF(N('მომწოდებლის ფორმა'!$Q7)=0,0,30/'მომწოდებლის ფორმა'!$Q7*'ფასი კლინიკებით'!$B$34))/'მომწოდებლის ფორმა'!$M7,30/'მომწოდებლის ფორმა'!$P7),1))</f>
        <v>0</v>
      </c>
      <c r="E9" s="43">
        <f>IF(OR(N('მომწოდებლის ფორმა'!E7)&lt;=0,N('მომწოდებლის ფორმა'!$M7)=0,N('მომწოდებლის ფორმა'!$P7)=0),0,CEILING(MAX(('მომწოდებლის ფორმა'!E7+'ფასი კლინიკებით'!$B$33+IF(N('მომწოდებლის ფორმა'!$Q7)=0,0,30/'მომწოდებლის ფორმა'!$Q7*'ფასი კლინიკებით'!$B$34))/'მომწოდებლის ფორმა'!$M7,30/'მომწოდებლის ფორმა'!$P7),1))</f>
        <v>0</v>
      </c>
      <c r="F9" s="43">
        <f>IF(OR(N('მომწოდებლის ფორმა'!F7)&lt;=0,N('მომწოდებლის ფორმა'!$M7)=0,N('მომწოდებლის ფორმა'!$P7)=0),0,CEILING(MAX(('მომწოდებლის ფორმა'!F7+'ფასი კლინიკებით'!$B$33+IF(N('მომწოდებლის ფორმა'!$Q7)=0,0,30/'მომწოდებლის ფორმა'!$Q7*'ფასი კლინიკებით'!$B$34))/'მომწოდებლის ფორმა'!$M7,30/'მომწოდებლის ფორმა'!$P7),1))</f>
        <v>0</v>
      </c>
      <c r="G9" s="43">
        <f>IF(OR(N('მომწოდებლის ფორმა'!G7)&lt;=0,N('მომწოდებლის ფორმა'!$M7)=0,N('მომწოდებლის ფორმა'!$P7)=0),0,CEILING(MAX(('მომწოდებლის ფორმა'!G7+'ფასი კლინიკებით'!$B$33+IF(N('მომწოდებლის ფორმა'!$Q7)=0,0,30/'მომწოდებლის ფორმა'!$Q7*'ფასი კლინიკებით'!$B$34))/'მომწოდებლის ფორმა'!$M7,30/'მომწოდებლის ფორმა'!$P7),1))</f>
        <v>0</v>
      </c>
      <c r="H9" s="43">
        <f>IF(OR(N('მომწოდებლის ფორმა'!H7)&lt;=0,N('მომწოდებლის ფორმა'!$M7)=0,N('მომწოდებლის ფორმა'!$P7)=0),0,CEILING(MAX(('მომწოდებლის ფორმა'!H7+'ფასი კლინიკებით'!$B$33+IF(N('მომწოდებლის ფორმა'!$Q7)=0,0,30/'მომწოდებლის ფორმა'!$Q7*'ფასი კლინიკებით'!$B$34))/'მომწოდებლის ფორმა'!$M7,30/'მომწოდებლის ფორმა'!$P7),1))</f>
        <v>0</v>
      </c>
      <c r="I9" s="43">
        <f>IF(OR(N('მომწოდებლის ფორმა'!I7)&lt;=0,N('მომწოდებლის ფორმა'!$M7)=0,N('მომწოდებლის ფორმა'!$P7)=0),0,CEILING(MAX(('მომწოდებლის ფორმა'!I7+'ფასი კლინიკებით'!$B$33+IF(N('მომწოდებლის ფორმა'!$Q7)=0,0,30/'მომწოდებლის ფორმა'!$Q7*'ფასი კლინიკებით'!$B$34))/'მომწოდებლის ფორმა'!$M7,30/'მომწოდებლის ფორმა'!$P7),1))</f>
        <v>0</v>
      </c>
      <c r="J9" s="43">
        <f t="shared" si="0"/>
        <v>0</v>
      </c>
      <c r="K9" s="44">
        <f>IF(N('მომწოდებლის ფორმა'!$K7)=0,0,CEILING(J9/'მომწოდებლის ფორმა'!$K7,1))</f>
        <v>0</v>
      </c>
      <c r="L9" s="45">
        <f>N('მომწოდებლის ფორმა'!$N7)*N('მომწოდებლის ფორმა'!$AB7)</f>
        <v>0</v>
      </c>
      <c r="M9" s="45">
        <f t="shared" si="1"/>
        <v>0</v>
      </c>
      <c r="N9" s="45">
        <f>M9*'ფასი კლინიკებით'!$B$32</f>
        <v>0</v>
      </c>
    </row>
    <row r="10" spans="1:14" x14ac:dyDescent="0.3">
      <c r="A10" s="42" t="str">
        <f>'მომწოდებლის ფორმა'!A8</f>
        <v>ალკალინ ფოსფატაზა ALP G1</v>
      </c>
      <c r="B10" s="43">
        <f>IF(OR(N('მომწოდებლის ფორმა'!B8)&lt;=0,N('მომწოდებლის ფორმა'!$M8)=0,N('მომწოდებლის ფორმა'!$P8)=0),0,CEILING(MAX(('მომწოდებლის ფორმა'!B8+'ფასი კლინიკებით'!$B$33+IF(N('მომწოდებლის ფორმა'!$Q8)=0,0,30/'მომწოდებლის ფორმა'!$Q8*'ფასი კლინიკებით'!$B$34))/'მომწოდებლის ფორმა'!$M8,30/'მომწოდებლის ფორმა'!$P8),1))</f>
        <v>0</v>
      </c>
      <c r="C10" s="43">
        <f>IF(OR(N('მომწოდებლის ფორმა'!C8)&lt;=0,N('მომწოდებლის ფორმა'!$M8)=0,N('მომწოდებლის ფორმა'!$P8)=0),0,CEILING(MAX(('მომწოდებლის ფორმა'!C8+'ფასი კლინიკებით'!$B$33+IF(N('მომწოდებლის ფორმა'!$Q8)=0,0,30/'მომწოდებლის ფორმა'!$Q8*'ფასი კლინიკებით'!$B$34))/'მომწოდებლის ფორმა'!$M8,30/'მომწოდებლის ფორმა'!$P8),1))</f>
        <v>0</v>
      </c>
      <c r="D10" s="43">
        <f>IF(OR(N('მომწოდებლის ფორმა'!D8)&lt;=0,N('მომწოდებლის ფორმა'!$M8)=0,N('მომწოდებლის ფორმა'!$P8)=0),0,CEILING(MAX(('მომწოდებლის ფორმა'!D8+'ფასი კლინიკებით'!$B$33+IF(N('მომწოდებლის ფორმა'!$Q8)=0,0,30/'მომწოდებლის ფორმა'!$Q8*'ფასი კლინიკებით'!$B$34))/'მომწოდებლის ფორმა'!$M8,30/'მომწოდებლის ფორმა'!$P8),1))</f>
        <v>0</v>
      </c>
      <c r="E10" s="43">
        <f>IF(OR(N('მომწოდებლის ფორმა'!E8)&lt;=0,N('მომწოდებლის ფორმა'!$M8)=0,N('მომწოდებლის ფორმა'!$P8)=0),0,CEILING(MAX(('მომწოდებლის ფორმა'!E8+'ფასი კლინიკებით'!$B$33+IF(N('მომწოდებლის ფორმა'!$Q8)=0,0,30/'მომწოდებლის ფორმა'!$Q8*'ფასი კლინიკებით'!$B$34))/'მომწოდებლის ფორმა'!$M8,30/'მომწოდებლის ფორმა'!$P8),1))</f>
        <v>0</v>
      </c>
      <c r="F10" s="43">
        <f>IF(OR(N('მომწოდებლის ფორმა'!F8)&lt;=0,N('მომწოდებლის ფორმა'!$M8)=0,N('მომწოდებლის ფორმა'!$P8)=0),0,CEILING(MAX(('მომწოდებლის ფორმა'!F8+'ფასი კლინიკებით'!$B$33+IF(N('მომწოდებლის ფორმა'!$Q8)=0,0,30/'მომწოდებლის ფორმა'!$Q8*'ფასი კლინიკებით'!$B$34))/'მომწოდებლის ფორმა'!$M8,30/'მომწოდებლის ფორმა'!$P8),1))</f>
        <v>0</v>
      </c>
      <c r="G10" s="43">
        <f>IF(OR(N('მომწოდებლის ფორმა'!G8)&lt;=0,N('მომწოდებლის ფორმა'!$M8)=0,N('მომწოდებლის ფორმა'!$P8)=0),0,CEILING(MAX(('მომწოდებლის ფორმა'!G8+'ფასი კლინიკებით'!$B$33+IF(N('მომწოდებლის ფორმა'!$Q8)=0,0,30/'მომწოდებლის ფორმა'!$Q8*'ფასი კლინიკებით'!$B$34))/'მომწოდებლის ფორმა'!$M8,30/'მომწოდებლის ფორმა'!$P8),1))</f>
        <v>0</v>
      </c>
      <c r="H10" s="43">
        <f>IF(OR(N('მომწოდებლის ფორმა'!H8)&lt;=0,N('მომწოდებლის ფორმა'!$M8)=0,N('მომწოდებლის ფორმა'!$P8)=0),0,CEILING(MAX(('მომწოდებლის ფორმა'!H8+'ფასი კლინიკებით'!$B$33+IF(N('მომწოდებლის ფორმა'!$Q8)=0,0,30/'მომწოდებლის ფორმა'!$Q8*'ფასი კლინიკებით'!$B$34))/'მომწოდებლის ფორმა'!$M8,30/'მომწოდებლის ფორმა'!$P8),1))</f>
        <v>0</v>
      </c>
      <c r="I10" s="43">
        <f>IF(OR(N('მომწოდებლის ფორმა'!I8)&lt;=0,N('მომწოდებლის ფორმა'!$M8)=0,N('მომწოდებლის ფორმა'!$P8)=0),0,CEILING(MAX(('მომწოდებლის ფორმა'!I8+'ფასი კლინიკებით'!$B$33+IF(N('მომწოდებლის ფორმა'!$Q8)=0,0,30/'მომწოდებლის ფორმა'!$Q8*'ფასი კლინიკებით'!$B$34))/'მომწოდებლის ფორმა'!$M8,30/'მომწოდებლის ფორმა'!$P8),1))</f>
        <v>0</v>
      </c>
      <c r="J10" s="43">
        <f t="shared" si="0"/>
        <v>0</v>
      </c>
      <c r="K10" s="44">
        <f>IF(N('მომწოდებლის ფორმა'!$K8)=0,0,CEILING(J10/'მომწოდებლის ფორმა'!$K8,1))</f>
        <v>0</v>
      </c>
      <c r="L10" s="45">
        <f>N('მომწოდებლის ფორმა'!$N8)*N('მომწოდებლის ფორმა'!$AB8)</f>
        <v>0</v>
      </c>
      <c r="M10" s="45">
        <f t="shared" si="1"/>
        <v>0</v>
      </c>
      <c r="N10" s="45">
        <f>M10*'ფასი კლინიკებით'!$B$32</f>
        <v>0</v>
      </c>
    </row>
    <row r="11" spans="1:14" x14ac:dyDescent="0.3">
      <c r="A11" s="42" t="str">
        <f>'მომწოდებლის ფორმა'!A9</f>
        <v>y-გლუტამილ ტრანსფერაზა GGT G1</v>
      </c>
      <c r="B11" s="43">
        <f>IF(OR(N('მომწოდებლის ფორმა'!B9)&lt;=0,N('მომწოდებლის ფორმა'!$M9)=0,N('მომწოდებლის ფორმა'!$P9)=0),0,CEILING(MAX(('მომწოდებლის ფორმა'!B9+'ფასი კლინიკებით'!$B$33+IF(N('მომწოდებლის ფორმა'!$Q9)=0,0,30/'მომწოდებლის ფორმა'!$Q9*'ფასი კლინიკებით'!$B$34))/'მომწოდებლის ფორმა'!$M9,30/'მომწოდებლის ფორმა'!$P9),1))</f>
        <v>0</v>
      </c>
      <c r="C11" s="43">
        <f>IF(OR(N('მომწოდებლის ფორმა'!C9)&lt;=0,N('მომწოდებლის ფორმა'!$M9)=0,N('მომწოდებლის ფორმა'!$P9)=0),0,CEILING(MAX(('მომწოდებლის ფორმა'!C9+'ფასი კლინიკებით'!$B$33+IF(N('მომწოდებლის ფორმა'!$Q9)=0,0,30/'მომწოდებლის ფორმა'!$Q9*'ფასი კლინიკებით'!$B$34))/'მომწოდებლის ფორმა'!$M9,30/'მომწოდებლის ფორმა'!$P9),1))</f>
        <v>0</v>
      </c>
      <c r="D11" s="43">
        <f>IF(OR(N('მომწოდებლის ფორმა'!D9)&lt;=0,N('მომწოდებლის ფორმა'!$M9)=0,N('მომწოდებლის ფორმა'!$P9)=0),0,CEILING(MAX(('მომწოდებლის ფორმა'!D9+'ფასი კლინიკებით'!$B$33+IF(N('მომწოდებლის ფორმა'!$Q9)=0,0,30/'მომწოდებლის ფორმა'!$Q9*'ფასი კლინიკებით'!$B$34))/'მომწოდებლის ფორმა'!$M9,30/'მომწოდებლის ფორმა'!$P9),1))</f>
        <v>0</v>
      </c>
      <c r="E11" s="43">
        <f>IF(OR(N('მომწოდებლის ფორმა'!E9)&lt;=0,N('მომწოდებლის ფორმა'!$M9)=0,N('მომწოდებლის ფორმა'!$P9)=0),0,CEILING(MAX(('მომწოდებლის ფორმა'!E9+'ფასი კლინიკებით'!$B$33+IF(N('მომწოდებლის ფორმა'!$Q9)=0,0,30/'მომწოდებლის ფორმა'!$Q9*'ფასი კლინიკებით'!$B$34))/'მომწოდებლის ფორმა'!$M9,30/'მომწოდებლის ფორმა'!$P9),1))</f>
        <v>0</v>
      </c>
      <c r="F11" s="43">
        <f>IF(OR(N('მომწოდებლის ფორმა'!F9)&lt;=0,N('მომწოდებლის ფორმა'!$M9)=0,N('მომწოდებლის ფორმა'!$P9)=0),0,CEILING(MAX(('მომწოდებლის ფორმა'!F9+'ფასი კლინიკებით'!$B$33+IF(N('მომწოდებლის ფორმა'!$Q9)=0,0,30/'მომწოდებლის ფორმა'!$Q9*'ფასი კლინიკებით'!$B$34))/'მომწოდებლის ფორმა'!$M9,30/'მომწოდებლის ფორმა'!$P9),1))</f>
        <v>0</v>
      </c>
      <c r="G11" s="43">
        <f>IF(OR(N('მომწოდებლის ფორმა'!G9)&lt;=0,N('მომწოდებლის ფორმა'!$M9)=0,N('მომწოდებლის ფორმა'!$P9)=0),0,CEILING(MAX(('მომწოდებლის ფორმა'!G9+'ფასი კლინიკებით'!$B$33+IF(N('მომწოდებლის ფორმა'!$Q9)=0,0,30/'მომწოდებლის ფორმა'!$Q9*'ფასი კლინიკებით'!$B$34))/'მომწოდებლის ფორმა'!$M9,30/'მომწოდებლის ფორმა'!$P9),1))</f>
        <v>0</v>
      </c>
      <c r="H11" s="43">
        <f>IF(OR(N('მომწოდებლის ფორმა'!H9)&lt;=0,N('მომწოდებლის ფორმა'!$M9)=0,N('მომწოდებლის ფორმა'!$P9)=0),0,CEILING(MAX(('მომწოდებლის ფორმა'!H9+'ფასი კლინიკებით'!$B$33+IF(N('მომწოდებლის ფორმა'!$Q9)=0,0,30/'მომწოდებლის ფორმა'!$Q9*'ფასი კლინიკებით'!$B$34))/'მომწოდებლის ფორმა'!$M9,30/'მომწოდებლის ფორმა'!$P9),1))</f>
        <v>0</v>
      </c>
      <c r="I11" s="43">
        <f>IF(OR(N('მომწოდებლის ფორმა'!I9)&lt;=0,N('მომწოდებლის ფორმა'!$M9)=0,N('მომწოდებლის ფორმა'!$P9)=0),0,CEILING(MAX(('მომწოდებლის ფორმა'!I9+'ფასი კლინიკებით'!$B$33+IF(N('მომწოდებლის ფორმა'!$Q9)=0,0,30/'მომწოდებლის ფორმა'!$Q9*'ფასი კლინიკებით'!$B$34))/'მომწოდებლის ფორმა'!$M9,30/'მომწოდებლის ფორმა'!$P9),1))</f>
        <v>0</v>
      </c>
      <c r="J11" s="43">
        <f t="shared" si="0"/>
        <v>0</v>
      </c>
      <c r="K11" s="44">
        <f>IF(N('მომწოდებლის ფორმა'!$K9)=0,0,CEILING(J11/'მომწოდებლის ფორმა'!$K9,1))</f>
        <v>0</v>
      </c>
      <c r="L11" s="45">
        <f>N('მომწოდებლის ფორმა'!$N9)*N('მომწოდებლის ფორმა'!$AB9)</f>
        <v>0</v>
      </c>
      <c r="M11" s="45">
        <f t="shared" si="1"/>
        <v>0</v>
      </c>
      <c r="N11" s="45">
        <f>M11*'ფასი კლინიკებით'!$B$32</f>
        <v>0</v>
      </c>
    </row>
    <row r="12" spans="1:14" x14ac:dyDescent="0.3">
      <c r="A12" s="42" t="str">
        <f>'მომწოდებლის ფორმა'!A10</f>
        <v>სრული  ბილირუბინი TBIL  G1</v>
      </c>
      <c r="B12" s="43">
        <f>IF(OR(N('მომწოდებლის ფორმა'!B10)&lt;=0,N('მომწოდებლის ფორმა'!$M10)=0,N('მომწოდებლის ფორმა'!$P10)=0),0,CEILING(MAX(('მომწოდებლის ფორმა'!B10+'ფასი კლინიკებით'!$B$33+IF(N('მომწოდებლის ფორმა'!$Q10)=0,0,30/'მომწოდებლის ფორმა'!$Q10*'ფასი კლინიკებით'!$B$34))/'მომწოდებლის ფორმა'!$M10,30/'მომწოდებლის ფორმა'!$P10),1))</f>
        <v>0</v>
      </c>
      <c r="C12" s="43">
        <f>IF(OR(N('მომწოდებლის ფორმა'!C10)&lt;=0,N('მომწოდებლის ფორმა'!$M10)=0,N('მომწოდებლის ფორმა'!$P10)=0),0,CEILING(MAX(('მომწოდებლის ფორმა'!C10+'ფასი კლინიკებით'!$B$33+IF(N('მომწოდებლის ფორმა'!$Q10)=0,0,30/'მომწოდებლის ფორმა'!$Q10*'ფასი კლინიკებით'!$B$34))/'მომწოდებლის ფორმა'!$M10,30/'მომწოდებლის ფორმა'!$P10),1))</f>
        <v>0</v>
      </c>
      <c r="D12" s="43">
        <f>IF(OR(N('მომწოდებლის ფორმა'!D10)&lt;=0,N('მომწოდებლის ფორმა'!$M10)=0,N('მომწოდებლის ფორმა'!$P10)=0),0,CEILING(MAX(('მომწოდებლის ფორმა'!D10+'ფასი კლინიკებით'!$B$33+IF(N('მომწოდებლის ფორმა'!$Q10)=0,0,30/'მომწოდებლის ფორმა'!$Q10*'ფასი კლინიკებით'!$B$34))/'მომწოდებლის ფორმა'!$M10,30/'მომწოდებლის ფორმა'!$P10),1))</f>
        <v>0</v>
      </c>
      <c r="E12" s="43">
        <f>IF(OR(N('მომწოდებლის ფორმა'!E10)&lt;=0,N('მომწოდებლის ფორმა'!$M10)=0,N('მომწოდებლის ფორმა'!$P10)=0),0,CEILING(MAX(('მომწოდებლის ფორმა'!E10+'ფასი კლინიკებით'!$B$33+IF(N('მომწოდებლის ფორმა'!$Q10)=0,0,30/'მომწოდებლის ფორმა'!$Q10*'ფასი კლინიკებით'!$B$34))/'მომწოდებლის ფორმა'!$M10,30/'მომწოდებლის ფორმა'!$P10),1))</f>
        <v>0</v>
      </c>
      <c r="F12" s="43">
        <f>IF(OR(N('მომწოდებლის ფორმა'!F10)&lt;=0,N('მომწოდებლის ფორმა'!$M10)=0,N('მომწოდებლის ფორმა'!$P10)=0),0,CEILING(MAX(('მომწოდებლის ფორმა'!F10+'ფასი კლინიკებით'!$B$33+IF(N('მომწოდებლის ფორმა'!$Q10)=0,0,30/'მომწოდებლის ფორმა'!$Q10*'ფასი კლინიკებით'!$B$34))/'მომწოდებლის ფორმა'!$M10,30/'მომწოდებლის ფორმა'!$P10),1))</f>
        <v>0</v>
      </c>
      <c r="G12" s="43">
        <f>IF(OR(N('მომწოდებლის ფორმა'!G10)&lt;=0,N('მომწოდებლის ფორმა'!$M10)=0,N('მომწოდებლის ფორმა'!$P10)=0),0,CEILING(MAX(('მომწოდებლის ფორმა'!G10+'ფასი კლინიკებით'!$B$33+IF(N('მომწოდებლის ფორმა'!$Q10)=0,0,30/'მომწოდებლის ფორმა'!$Q10*'ფასი კლინიკებით'!$B$34))/'მომწოდებლის ფორმა'!$M10,30/'მომწოდებლის ფორმა'!$P10),1))</f>
        <v>0</v>
      </c>
      <c r="H12" s="43">
        <f>IF(OR(N('მომწოდებლის ფორმა'!H10)&lt;=0,N('მომწოდებლის ფორმა'!$M10)=0,N('მომწოდებლის ფორმა'!$P10)=0),0,CEILING(MAX(('მომწოდებლის ფორმა'!H10+'ფასი კლინიკებით'!$B$33+IF(N('მომწოდებლის ფორმა'!$Q10)=0,0,30/'მომწოდებლის ფორმა'!$Q10*'ფასი კლინიკებით'!$B$34))/'მომწოდებლის ფორმა'!$M10,30/'მომწოდებლის ფორმა'!$P10),1))</f>
        <v>0</v>
      </c>
      <c r="I12" s="43">
        <f>IF(OR(N('მომწოდებლის ფორმა'!I10)&lt;=0,N('მომწოდებლის ფორმა'!$M10)=0,N('მომწოდებლის ფორმა'!$P10)=0),0,CEILING(MAX(('მომწოდებლის ფორმა'!I10+'ფასი კლინიკებით'!$B$33+IF(N('მომწოდებლის ფორმა'!$Q10)=0,0,30/'მომწოდებლის ფორმა'!$Q10*'ფასი კლინიკებით'!$B$34))/'მომწოდებლის ფორმა'!$M10,30/'მომწოდებლის ფორმა'!$P10),1))</f>
        <v>0</v>
      </c>
      <c r="J12" s="43">
        <f t="shared" si="0"/>
        <v>0</v>
      </c>
      <c r="K12" s="44">
        <f>IF(N('მომწოდებლის ფორმა'!$K10)=0,0,CEILING(J12/'მომწოდებლის ფორმა'!$K10,1))</f>
        <v>0</v>
      </c>
      <c r="L12" s="45">
        <f>N('მომწოდებლის ფორმა'!$N10)*N('მომწოდებლის ფორმა'!$AB10)</f>
        <v>0</v>
      </c>
      <c r="M12" s="45">
        <f t="shared" si="1"/>
        <v>0</v>
      </c>
      <c r="N12" s="45">
        <f>M12*'ფასი კლინიკებით'!$B$32</f>
        <v>0</v>
      </c>
    </row>
    <row r="13" spans="1:14" x14ac:dyDescent="0.3">
      <c r="A13" s="42" t="str">
        <f>'მომწოდებლის ფორმა'!A11</f>
        <v>სრული პროტეინი TP G1</v>
      </c>
      <c r="B13" s="43">
        <f>IF(OR(N('მომწოდებლის ფორმა'!B11)&lt;=0,N('მომწოდებლის ფორმა'!$M11)=0,N('მომწოდებლის ფორმა'!$P11)=0),0,CEILING(MAX(('მომწოდებლის ფორმა'!B11+'ფასი კლინიკებით'!$B$33+IF(N('მომწოდებლის ფორმა'!$Q11)=0,0,30/'მომწოდებლის ფორმა'!$Q11*'ფასი კლინიკებით'!$B$34))/'მომწოდებლის ფორმა'!$M11,30/'მომწოდებლის ფორმა'!$P11),1))</f>
        <v>0</v>
      </c>
      <c r="C13" s="43">
        <f>IF(OR(N('მომწოდებლის ფორმა'!C11)&lt;=0,N('მომწოდებლის ფორმა'!$M11)=0,N('მომწოდებლის ფორმა'!$P11)=0),0,CEILING(MAX(('მომწოდებლის ფორმა'!C11+'ფასი კლინიკებით'!$B$33+IF(N('მომწოდებლის ფორმა'!$Q11)=0,0,30/'მომწოდებლის ფორმა'!$Q11*'ფასი კლინიკებით'!$B$34))/'მომწოდებლის ფორმა'!$M11,30/'მომწოდებლის ფორმა'!$P11),1))</f>
        <v>0</v>
      </c>
      <c r="D13" s="43">
        <f>IF(OR(N('მომწოდებლის ფორმა'!D11)&lt;=0,N('მომწოდებლის ფორმა'!$M11)=0,N('მომწოდებლის ფორმა'!$P11)=0),0,CEILING(MAX(('მომწოდებლის ფორმა'!D11+'ფასი კლინიკებით'!$B$33+IF(N('მომწოდებლის ფორმა'!$Q11)=0,0,30/'მომწოდებლის ფორმა'!$Q11*'ფასი კლინიკებით'!$B$34))/'მომწოდებლის ფორმა'!$M11,30/'მომწოდებლის ფორმა'!$P11),1))</f>
        <v>0</v>
      </c>
      <c r="E13" s="43">
        <f>IF(OR(N('მომწოდებლის ფორმა'!E11)&lt;=0,N('მომწოდებლის ფორმა'!$M11)=0,N('მომწოდებლის ფორმა'!$P11)=0),0,CEILING(MAX(('მომწოდებლის ფორმა'!E11+'ფასი კლინიკებით'!$B$33+IF(N('მომწოდებლის ფორმა'!$Q11)=0,0,30/'მომწოდებლის ფორმა'!$Q11*'ფასი კლინიკებით'!$B$34))/'მომწოდებლის ფორმა'!$M11,30/'მომწოდებლის ფორმა'!$P11),1))</f>
        <v>0</v>
      </c>
      <c r="F13" s="43">
        <f>IF(OR(N('მომწოდებლის ფორმა'!F11)&lt;=0,N('მომწოდებლის ფორმა'!$M11)=0,N('მომწოდებლის ფორმა'!$P11)=0),0,CEILING(MAX(('მომწოდებლის ფორმა'!F11+'ფასი კლინიკებით'!$B$33+IF(N('მომწოდებლის ფორმა'!$Q11)=0,0,30/'მომწოდებლის ფორმა'!$Q11*'ფასი კლინიკებით'!$B$34))/'მომწოდებლის ფორმა'!$M11,30/'მომწოდებლის ფორმა'!$P11),1))</f>
        <v>0</v>
      </c>
      <c r="G13" s="43">
        <f>IF(OR(N('მომწოდებლის ფორმა'!G11)&lt;=0,N('მომწოდებლის ფორმა'!$M11)=0,N('მომწოდებლის ფორმა'!$P11)=0),0,CEILING(MAX(('მომწოდებლის ფორმა'!G11+'ფასი კლინიკებით'!$B$33+IF(N('მომწოდებლის ფორმა'!$Q11)=0,0,30/'მომწოდებლის ფორმა'!$Q11*'ფასი კლინიკებით'!$B$34))/'მომწოდებლის ფორმა'!$M11,30/'მომწოდებლის ფორმა'!$P11),1))</f>
        <v>0</v>
      </c>
      <c r="H13" s="43">
        <f>IF(OR(N('მომწოდებლის ფორმა'!H11)&lt;=0,N('მომწოდებლის ფორმა'!$M11)=0,N('მომწოდებლის ფორმა'!$P11)=0),0,CEILING(MAX(('მომწოდებლის ფორმა'!H11+'ფასი კლინიკებით'!$B$33+IF(N('მომწოდებლის ფორმა'!$Q11)=0,0,30/'მომწოდებლის ფორმა'!$Q11*'ფასი კლინიკებით'!$B$34))/'მომწოდებლის ფორმა'!$M11,30/'მომწოდებლის ფორმა'!$P11),1))</f>
        <v>0</v>
      </c>
      <c r="I13" s="43">
        <f>IF(OR(N('მომწოდებლის ფორმა'!I11)&lt;=0,N('მომწოდებლის ფორმა'!$M11)=0,N('მომწოდებლის ფორმა'!$P11)=0),0,CEILING(MAX(('მომწოდებლის ფორმა'!I11+'ფასი კლინიკებით'!$B$33+IF(N('მომწოდებლის ფორმა'!$Q11)=0,0,30/'მომწოდებლის ფორმა'!$Q11*'ფასი კლინიკებით'!$B$34))/'მომწოდებლის ფორმა'!$M11,30/'მომწოდებლის ფორმა'!$P11),1))</f>
        <v>0</v>
      </c>
      <c r="J13" s="43">
        <f t="shared" si="0"/>
        <v>0</v>
      </c>
      <c r="K13" s="44">
        <f>IF(N('მომწოდებლის ფორმა'!$K11)=0,0,CEILING(J13/'მომწოდებლის ფორმა'!$K11,1))</f>
        <v>0</v>
      </c>
      <c r="L13" s="45">
        <f>N('მომწოდებლის ფორმა'!$N11)*N('მომწოდებლის ფორმა'!$AB11)</f>
        <v>0</v>
      </c>
      <c r="M13" s="45">
        <f t="shared" si="1"/>
        <v>0</v>
      </c>
      <c r="N13" s="45">
        <f>M13*'ფასი კლინიკებით'!$B$32</f>
        <v>0</v>
      </c>
    </row>
    <row r="14" spans="1:14" x14ac:dyDescent="0.3">
      <c r="A14" s="42" t="str">
        <f>'მომწოდებლის ფორმა'!A12</f>
        <v>ალბუმინი ALB G1</v>
      </c>
      <c r="B14" s="43">
        <f>IF(OR(N('მომწოდებლის ფორმა'!B12)&lt;=0,N('მომწოდებლის ფორმა'!$M12)=0,N('მომწოდებლის ფორმა'!$P12)=0),0,CEILING(MAX(('მომწოდებლის ფორმა'!B12+'ფასი კლინიკებით'!$B$33+IF(N('მომწოდებლის ფორმა'!$Q12)=0,0,30/'მომწოდებლის ფორმა'!$Q12*'ფასი კლინიკებით'!$B$34))/'მომწოდებლის ფორმა'!$M12,30/'მომწოდებლის ფორმა'!$P12),1))</f>
        <v>0</v>
      </c>
      <c r="C14" s="43">
        <f>IF(OR(N('მომწოდებლის ფორმა'!C12)&lt;=0,N('მომწოდებლის ფორმა'!$M12)=0,N('მომწოდებლის ფორმა'!$P12)=0),0,CEILING(MAX(('მომწოდებლის ფორმა'!C12+'ფასი კლინიკებით'!$B$33+IF(N('მომწოდებლის ფორმა'!$Q12)=0,0,30/'მომწოდებლის ფორმა'!$Q12*'ფასი კლინიკებით'!$B$34))/'მომწოდებლის ფორმა'!$M12,30/'მომწოდებლის ფორმა'!$P12),1))</f>
        <v>0</v>
      </c>
      <c r="D14" s="43">
        <f>IF(OR(N('მომწოდებლის ფორმა'!D12)&lt;=0,N('მომწოდებლის ფორმა'!$M12)=0,N('მომწოდებლის ფორმა'!$P12)=0),0,CEILING(MAX(('მომწოდებლის ფორმა'!D12+'ფასი კლინიკებით'!$B$33+IF(N('მომწოდებლის ფორმა'!$Q12)=0,0,30/'მომწოდებლის ფორმა'!$Q12*'ფასი კლინიკებით'!$B$34))/'მომწოდებლის ფორმა'!$M12,30/'მომწოდებლის ფორმა'!$P12),1))</f>
        <v>0</v>
      </c>
      <c r="E14" s="43">
        <f>IF(OR(N('მომწოდებლის ფორმა'!E12)&lt;=0,N('მომწოდებლის ფორმა'!$M12)=0,N('მომწოდებლის ფორმა'!$P12)=0),0,CEILING(MAX(('მომწოდებლის ფორმა'!E12+'ფასი კლინიკებით'!$B$33+IF(N('მომწოდებლის ფორმა'!$Q12)=0,0,30/'მომწოდებლის ფორმა'!$Q12*'ფასი კლინიკებით'!$B$34))/'მომწოდებლის ფორმა'!$M12,30/'მომწოდებლის ფორმა'!$P12),1))</f>
        <v>0</v>
      </c>
      <c r="F14" s="43">
        <f>IF(OR(N('მომწოდებლის ფორმა'!F12)&lt;=0,N('მომწოდებლის ფორმა'!$M12)=0,N('მომწოდებლის ფორმა'!$P12)=0),0,CEILING(MAX(('მომწოდებლის ფორმა'!F12+'ფასი კლინიკებით'!$B$33+IF(N('მომწოდებლის ფორმა'!$Q12)=0,0,30/'მომწოდებლის ფორმა'!$Q12*'ფასი კლინიკებით'!$B$34))/'მომწოდებლის ფორმა'!$M12,30/'მომწოდებლის ფორმა'!$P12),1))</f>
        <v>0</v>
      </c>
      <c r="G14" s="43">
        <f>IF(OR(N('მომწოდებლის ფორმა'!G12)&lt;=0,N('მომწოდებლის ფორმა'!$M12)=0,N('მომწოდებლის ფორმა'!$P12)=0),0,CEILING(MAX(('მომწოდებლის ფორმა'!G12+'ფასი კლინიკებით'!$B$33+IF(N('მომწოდებლის ფორმა'!$Q12)=0,0,30/'მომწოდებლის ფორმა'!$Q12*'ფასი კლინიკებით'!$B$34))/'მომწოდებლის ფორმა'!$M12,30/'მომწოდებლის ფორმა'!$P12),1))</f>
        <v>0</v>
      </c>
      <c r="H14" s="43">
        <f>IF(OR(N('მომწოდებლის ფორმა'!H12)&lt;=0,N('მომწოდებლის ფორმა'!$M12)=0,N('მომწოდებლის ფორმა'!$P12)=0),0,CEILING(MAX(('მომწოდებლის ფორმა'!H12+'ფასი კლინიკებით'!$B$33+IF(N('მომწოდებლის ფორმა'!$Q12)=0,0,30/'მომწოდებლის ფორმა'!$Q12*'ფასი კლინიკებით'!$B$34))/'მომწოდებლის ფორმა'!$M12,30/'მომწოდებლის ფორმა'!$P12),1))</f>
        <v>0</v>
      </c>
      <c r="I14" s="43">
        <f>IF(OR(N('მომწოდებლის ფორმა'!I12)&lt;=0,N('მომწოდებლის ფორმა'!$M12)=0,N('მომწოდებლის ფორმა'!$P12)=0),0,CEILING(MAX(('მომწოდებლის ფორმა'!I12+'ფასი კლინიკებით'!$B$33+IF(N('მომწოდებლის ფორმა'!$Q12)=0,0,30/'მომწოდებლის ფორმა'!$Q12*'ფასი კლინიკებით'!$B$34))/'მომწოდებლის ფორმა'!$M12,30/'მომწოდებლის ფორმა'!$P12),1))</f>
        <v>0</v>
      </c>
      <c r="J14" s="43">
        <f t="shared" si="0"/>
        <v>0</v>
      </c>
      <c r="K14" s="44">
        <f>IF(N('მომწოდებლის ფორმა'!$K12)=0,0,CEILING(J14/'მომწოდებლის ფორმა'!$K12,1))</f>
        <v>0</v>
      </c>
      <c r="L14" s="45">
        <f>N('მომწოდებლის ფორმა'!$N12)*N('მომწოდებლის ფორმა'!$AB12)</f>
        <v>0</v>
      </c>
      <c r="M14" s="45">
        <f t="shared" si="1"/>
        <v>0</v>
      </c>
      <c r="N14" s="45">
        <f>M14*'ფასი კლინიკებით'!$B$32</f>
        <v>0</v>
      </c>
    </row>
    <row r="15" spans="1:14" x14ac:dyDescent="0.3">
      <c r="A15" s="42" t="str">
        <f>'მომწოდებლის ფორმა'!A13</f>
        <v>კრეატინინი Cr G1</v>
      </c>
      <c r="B15" s="43">
        <f>IF(OR(N('მომწოდებლის ფორმა'!B13)&lt;=0,N('მომწოდებლის ფორმა'!$M13)=0,N('მომწოდებლის ფორმა'!$P13)=0),0,CEILING(MAX(('მომწოდებლის ფორმა'!B13+'ფასი კლინიკებით'!$B$33+IF(N('მომწოდებლის ფორმა'!$Q13)=0,0,30/'მომწოდებლის ფორმა'!$Q13*'ფასი კლინიკებით'!$B$34))/'მომწოდებლის ფორმა'!$M13,30/'მომწოდებლის ფორმა'!$P13),1))</f>
        <v>0</v>
      </c>
      <c r="C15" s="43">
        <f>IF(OR(N('მომწოდებლის ფორმა'!C13)&lt;=0,N('მომწოდებლის ფორმა'!$M13)=0,N('მომწოდებლის ფორმა'!$P13)=0),0,CEILING(MAX(('მომწოდებლის ფორმა'!C13+'ფასი კლინიკებით'!$B$33+IF(N('მომწოდებლის ფორმა'!$Q13)=0,0,30/'მომწოდებლის ფორმა'!$Q13*'ფასი კლინიკებით'!$B$34))/'მომწოდებლის ფორმა'!$M13,30/'მომწოდებლის ფორმა'!$P13),1))</f>
        <v>0</v>
      </c>
      <c r="D15" s="43">
        <f>IF(OR(N('მომწოდებლის ფორმა'!D13)&lt;=0,N('მომწოდებლის ფორმა'!$M13)=0,N('მომწოდებლის ფორმა'!$P13)=0),0,CEILING(MAX(('მომწოდებლის ფორმა'!D13+'ფასი კლინიკებით'!$B$33+IF(N('მომწოდებლის ფორმა'!$Q13)=0,0,30/'მომწოდებლის ფორმა'!$Q13*'ფასი კლინიკებით'!$B$34))/'მომწოდებლის ფორმა'!$M13,30/'მომწოდებლის ფორმა'!$P13),1))</f>
        <v>0</v>
      </c>
      <c r="E15" s="43">
        <f>IF(OR(N('მომწოდებლის ფორმა'!E13)&lt;=0,N('მომწოდებლის ფორმა'!$M13)=0,N('მომწოდებლის ფორმა'!$P13)=0),0,CEILING(MAX(('მომწოდებლის ფორმა'!E13+'ფასი კლინიკებით'!$B$33+IF(N('მომწოდებლის ფორმა'!$Q13)=0,0,30/'მომწოდებლის ფორმა'!$Q13*'ფასი კლინიკებით'!$B$34))/'მომწოდებლის ფორმა'!$M13,30/'მომწოდებლის ფორმა'!$P13),1))</f>
        <v>0</v>
      </c>
      <c r="F15" s="43">
        <f>IF(OR(N('მომწოდებლის ფორმა'!F13)&lt;=0,N('მომწოდებლის ფორმა'!$M13)=0,N('მომწოდებლის ფორმა'!$P13)=0),0,CEILING(MAX(('მომწოდებლის ფორმა'!F13+'ფასი კლინიკებით'!$B$33+IF(N('მომწოდებლის ფორმა'!$Q13)=0,0,30/'მომწოდებლის ფორმა'!$Q13*'ფასი კლინიკებით'!$B$34))/'მომწოდებლის ფორმა'!$M13,30/'მომწოდებლის ფორმა'!$P13),1))</f>
        <v>0</v>
      </c>
      <c r="G15" s="43">
        <f>IF(OR(N('მომწოდებლის ფორმა'!G13)&lt;=0,N('მომწოდებლის ფორმა'!$M13)=0,N('მომწოდებლის ფორმა'!$P13)=0),0,CEILING(MAX(('მომწოდებლის ფორმა'!G13+'ფასი კლინიკებით'!$B$33+IF(N('მომწოდებლის ფორმა'!$Q13)=0,0,30/'მომწოდებლის ფორმა'!$Q13*'ფასი კლინიკებით'!$B$34))/'მომწოდებლის ფორმა'!$M13,30/'მომწოდებლის ფორმა'!$P13),1))</f>
        <v>0</v>
      </c>
      <c r="H15" s="43">
        <f>IF(OR(N('მომწოდებლის ფორმა'!H13)&lt;=0,N('მომწოდებლის ფორმა'!$M13)=0,N('მომწოდებლის ფორმა'!$P13)=0),0,CEILING(MAX(('მომწოდებლის ფორმა'!H13+'ფასი კლინიკებით'!$B$33+IF(N('მომწოდებლის ფორმა'!$Q13)=0,0,30/'მომწოდებლის ფორმა'!$Q13*'ფასი კლინიკებით'!$B$34))/'მომწოდებლის ფორმა'!$M13,30/'მომწოდებლის ფორმა'!$P13),1))</f>
        <v>0</v>
      </c>
      <c r="I15" s="43">
        <f>IF(OR(N('მომწოდებლის ფორმა'!I13)&lt;=0,N('მომწოდებლის ფორმა'!$M13)=0,N('მომწოდებლის ფორმა'!$P13)=0),0,CEILING(MAX(('მომწოდებლის ფორმა'!I13+'ფასი კლინიკებით'!$B$33+IF(N('მომწოდებლის ფორმა'!$Q13)=0,0,30/'მომწოდებლის ფორმა'!$Q13*'ფასი კლინიკებით'!$B$34))/'მომწოდებლის ფორმა'!$M13,30/'მომწოდებლის ფორმა'!$P13),1))</f>
        <v>0</v>
      </c>
      <c r="J15" s="43">
        <f t="shared" si="0"/>
        <v>0</v>
      </c>
      <c r="K15" s="44">
        <f>IF(N('მომწოდებლის ფორმა'!$K13)=0,0,CEILING(J15/'მომწოდებლის ფორმა'!$K13,1))</f>
        <v>0</v>
      </c>
      <c r="L15" s="45">
        <f>N('მომწოდებლის ფორმა'!$N13)*N('მომწოდებლის ფორმა'!$AB13)</f>
        <v>0</v>
      </c>
      <c r="M15" s="45">
        <f t="shared" si="1"/>
        <v>0</v>
      </c>
      <c r="N15" s="45">
        <f>M15*'ფასი კლინიკებით'!$B$32</f>
        <v>0</v>
      </c>
    </row>
    <row r="16" spans="1:14" x14ac:dyDescent="0.3">
      <c r="A16" s="42" t="str">
        <f>'მომწოდებლის ფორმა'!A14</f>
        <v>შარდოვანა Urea G1</v>
      </c>
      <c r="B16" s="43">
        <f>IF(OR(N('მომწოდებლის ფორმა'!B14)&lt;=0,N('მომწოდებლის ფორმა'!$M14)=0,N('მომწოდებლის ფორმა'!$P14)=0),0,CEILING(MAX(('მომწოდებლის ფორმა'!B14+'ფასი კლინიკებით'!$B$33+IF(N('მომწოდებლის ფორმა'!$Q14)=0,0,30/'მომწოდებლის ფორმა'!$Q14*'ფასი კლინიკებით'!$B$34))/'მომწოდებლის ფორმა'!$M14,30/'მომწოდებლის ფორმა'!$P14),1))</f>
        <v>0</v>
      </c>
      <c r="C16" s="43">
        <f>IF(OR(N('მომწოდებლის ფორმა'!C14)&lt;=0,N('მომწოდებლის ფორმა'!$M14)=0,N('მომწოდებლის ფორმა'!$P14)=0),0,CEILING(MAX(('მომწოდებლის ფორმა'!C14+'ფასი კლინიკებით'!$B$33+IF(N('მომწოდებლის ფორმა'!$Q14)=0,0,30/'მომწოდებლის ფორმა'!$Q14*'ფასი კლინიკებით'!$B$34))/'მომწოდებლის ფორმა'!$M14,30/'მომწოდებლის ფორმა'!$P14),1))</f>
        <v>0</v>
      </c>
      <c r="D16" s="43">
        <f>IF(OR(N('მომწოდებლის ფორმა'!D14)&lt;=0,N('მომწოდებლის ფორმა'!$M14)=0,N('მომწოდებლის ფორმა'!$P14)=0),0,CEILING(MAX(('მომწოდებლის ფორმა'!D14+'ფასი კლინიკებით'!$B$33+IF(N('მომწოდებლის ფორმა'!$Q14)=0,0,30/'მომწოდებლის ფორმა'!$Q14*'ფასი კლინიკებით'!$B$34))/'მომწოდებლის ფორმა'!$M14,30/'მომწოდებლის ფორმა'!$P14),1))</f>
        <v>0</v>
      </c>
      <c r="E16" s="43">
        <f>IF(OR(N('მომწოდებლის ფორმა'!E14)&lt;=0,N('მომწოდებლის ფორმა'!$M14)=0,N('მომწოდებლის ფორმა'!$P14)=0),0,CEILING(MAX(('მომწოდებლის ფორმა'!E14+'ფასი კლინიკებით'!$B$33+IF(N('მომწოდებლის ფორმა'!$Q14)=0,0,30/'მომწოდებლის ფორმა'!$Q14*'ფასი კლინიკებით'!$B$34))/'მომწოდებლის ფორმა'!$M14,30/'მომწოდებლის ფორმა'!$P14),1))</f>
        <v>0</v>
      </c>
      <c r="F16" s="43">
        <f>IF(OR(N('მომწოდებლის ფორმა'!F14)&lt;=0,N('მომწოდებლის ფორმა'!$M14)=0,N('მომწოდებლის ფორმა'!$P14)=0),0,CEILING(MAX(('მომწოდებლის ფორმა'!F14+'ფასი კლინიკებით'!$B$33+IF(N('მომწოდებლის ფორმა'!$Q14)=0,0,30/'მომწოდებლის ფორმა'!$Q14*'ფასი კლინიკებით'!$B$34))/'მომწოდებლის ფორმა'!$M14,30/'მომწოდებლის ფორმა'!$P14),1))</f>
        <v>0</v>
      </c>
      <c r="G16" s="43">
        <f>IF(OR(N('მომწოდებლის ფორმა'!G14)&lt;=0,N('მომწოდებლის ფორმა'!$M14)=0,N('მომწოდებლის ფორმა'!$P14)=0),0,CEILING(MAX(('მომწოდებლის ფორმა'!G14+'ფასი კლინიკებით'!$B$33+IF(N('მომწოდებლის ფორმა'!$Q14)=0,0,30/'მომწოდებლის ფორმა'!$Q14*'ფასი კლინიკებით'!$B$34))/'მომწოდებლის ფორმა'!$M14,30/'მომწოდებლის ფორმა'!$P14),1))</f>
        <v>0</v>
      </c>
      <c r="H16" s="43">
        <f>IF(OR(N('მომწოდებლის ფორმა'!H14)&lt;=0,N('მომწოდებლის ფორმა'!$M14)=0,N('მომწოდებლის ფორმა'!$P14)=0),0,CEILING(MAX(('მომწოდებლის ფორმა'!H14+'ფასი კლინიკებით'!$B$33+IF(N('მომწოდებლის ფორმა'!$Q14)=0,0,30/'მომწოდებლის ფორმა'!$Q14*'ფასი კლინიკებით'!$B$34))/'მომწოდებლის ფორმა'!$M14,30/'მომწოდებლის ფორმა'!$P14),1))</f>
        <v>0</v>
      </c>
      <c r="I16" s="43">
        <f>IF(OR(N('მომწოდებლის ფორმა'!I14)&lt;=0,N('მომწოდებლის ფორმა'!$M14)=0,N('მომწოდებლის ფორმა'!$P14)=0),0,CEILING(MAX(('მომწოდებლის ფორმა'!I14+'ფასი კლინიკებით'!$B$33+IF(N('მომწოდებლის ფორმა'!$Q14)=0,0,30/'მომწოდებლის ფორმა'!$Q14*'ფასი კლინიკებით'!$B$34))/'მომწოდებლის ფორმა'!$M14,30/'მომწოდებლის ფორმა'!$P14),1))</f>
        <v>0</v>
      </c>
      <c r="J16" s="43">
        <f t="shared" si="0"/>
        <v>0</v>
      </c>
      <c r="K16" s="44">
        <f>IF(N('მომწოდებლის ფორმა'!$K14)=0,0,CEILING(J16/'მომწოდებლის ფორმა'!$K14,1))</f>
        <v>0</v>
      </c>
      <c r="L16" s="45">
        <f>N('მომწოდებლის ფორმა'!$N14)*N('მომწოდებლის ფორმა'!$AB14)</f>
        <v>0</v>
      </c>
      <c r="M16" s="45">
        <f t="shared" si="1"/>
        <v>0</v>
      </c>
      <c r="N16" s="45">
        <f>M16*'ფასი კლინიკებით'!$B$32</f>
        <v>0</v>
      </c>
    </row>
    <row r="17" spans="1:14" x14ac:dyDescent="0.3">
      <c r="A17" s="42" t="str">
        <f>'მომწოდებლის ფორმა'!A15</f>
        <v>რკინა Fe G1</v>
      </c>
      <c r="B17" s="43">
        <f>IF(OR(N('მომწოდებლის ფორმა'!B15)&lt;=0,N('მომწოდებლის ფორმა'!$M15)=0,N('მომწოდებლის ფორმა'!$P15)=0),0,CEILING(MAX(('მომწოდებლის ფორმა'!B15+'ფასი კლინიკებით'!$B$33+IF(N('მომწოდებლის ფორმა'!$Q15)=0,0,30/'მომწოდებლის ფორმა'!$Q15*'ფასი კლინიკებით'!$B$34))/'მომწოდებლის ფორმა'!$M15,30/'მომწოდებლის ფორმა'!$P15),1))</f>
        <v>0</v>
      </c>
      <c r="C17" s="43">
        <f>IF(OR(N('მომწოდებლის ფორმა'!C15)&lt;=0,N('მომწოდებლის ფორმა'!$M15)=0,N('მომწოდებლის ფორმა'!$P15)=0),0,CEILING(MAX(('მომწოდებლის ფორმა'!C15+'ფასი კლინიკებით'!$B$33+IF(N('მომწოდებლის ფორმა'!$Q15)=0,0,30/'მომწოდებლის ფორმა'!$Q15*'ფასი კლინიკებით'!$B$34))/'მომწოდებლის ფორმა'!$M15,30/'მომწოდებლის ფორმა'!$P15),1))</f>
        <v>0</v>
      </c>
      <c r="D17" s="43">
        <f>IF(OR(N('მომწოდებლის ფორმა'!D15)&lt;=0,N('მომწოდებლის ფორმა'!$M15)=0,N('მომწოდებლის ფორმა'!$P15)=0),0,CEILING(MAX(('მომწოდებლის ფორმა'!D15+'ფასი კლინიკებით'!$B$33+IF(N('მომწოდებლის ფორმა'!$Q15)=0,0,30/'მომწოდებლის ფორმა'!$Q15*'ფასი კლინიკებით'!$B$34))/'მომწოდებლის ფორმა'!$M15,30/'მომწოდებლის ფორმა'!$P15),1))</f>
        <v>0</v>
      </c>
      <c r="E17" s="43">
        <f>IF(OR(N('მომწოდებლის ფორმა'!E15)&lt;=0,N('მომწოდებლის ფორმა'!$M15)=0,N('მომწოდებლის ფორმა'!$P15)=0),0,CEILING(MAX(('მომწოდებლის ფორმა'!E15+'ფასი კლინიკებით'!$B$33+IF(N('მომწოდებლის ფორმა'!$Q15)=0,0,30/'მომწოდებლის ფორმა'!$Q15*'ფასი კლინიკებით'!$B$34))/'მომწოდებლის ფორმა'!$M15,30/'მომწოდებლის ფორმა'!$P15),1))</f>
        <v>0</v>
      </c>
      <c r="F17" s="43">
        <f>IF(OR(N('მომწოდებლის ფორმა'!F15)&lt;=0,N('მომწოდებლის ფორმა'!$M15)=0,N('მომწოდებლის ფორმა'!$P15)=0),0,CEILING(MAX(('მომწოდებლის ფორმა'!F15+'ფასი კლინიკებით'!$B$33+IF(N('მომწოდებლის ფორმა'!$Q15)=0,0,30/'მომწოდებლის ფორმა'!$Q15*'ფასი კლინიკებით'!$B$34))/'მომწოდებლის ფორმა'!$M15,30/'მომწოდებლის ფორმა'!$P15),1))</f>
        <v>0</v>
      </c>
      <c r="G17" s="43">
        <f>IF(OR(N('მომწოდებლის ფორმა'!G15)&lt;=0,N('მომწოდებლის ფორმა'!$M15)=0,N('მომწოდებლის ფორმა'!$P15)=0),0,CEILING(MAX(('მომწოდებლის ფორმა'!G15+'ფასი კლინიკებით'!$B$33+IF(N('მომწოდებლის ფორმა'!$Q15)=0,0,30/'მომწოდებლის ფორმა'!$Q15*'ფასი კლინიკებით'!$B$34))/'მომწოდებლის ფორმა'!$M15,30/'მომწოდებლის ფორმა'!$P15),1))</f>
        <v>0</v>
      </c>
      <c r="H17" s="43">
        <f>IF(OR(N('მომწოდებლის ფორმა'!H15)&lt;=0,N('მომწოდებლის ფორმა'!$M15)=0,N('მომწოდებლის ფორმა'!$P15)=0),0,CEILING(MAX(('მომწოდებლის ფორმა'!H15+'ფასი კლინიკებით'!$B$33+IF(N('მომწოდებლის ფორმა'!$Q15)=0,0,30/'მომწოდებლის ფორმა'!$Q15*'ფასი კლინიკებით'!$B$34))/'მომწოდებლის ფორმა'!$M15,30/'მომწოდებლის ფორმა'!$P15),1))</f>
        <v>0</v>
      </c>
      <c r="I17" s="43">
        <f>IF(OR(N('მომწოდებლის ფორმა'!I15)&lt;=0,N('მომწოდებლის ფორმა'!$M15)=0,N('მომწოდებლის ფორმა'!$P15)=0),0,CEILING(MAX(('მომწოდებლის ფორმა'!I15+'ფასი კლინიკებით'!$B$33+IF(N('მომწოდებლის ფორმა'!$Q15)=0,0,30/'მომწოდებლის ფორმა'!$Q15*'ფასი კლინიკებით'!$B$34))/'მომწოდებლის ფორმა'!$M15,30/'მომწოდებლის ფორმა'!$P15),1))</f>
        <v>0</v>
      </c>
      <c r="J17" s="43">
        <f t="shared" si="0"/>
        <v>0</v>
      </c>
      <c r="K17" s="44">
        <f>IF(N('მომწოდებლის ფორმა'!$K15)=0,0,CEILING(J17/'მომწოდებლის ფორმა'!$K15,1))</f>
        <v>0</v>
      </c>
      <c r="L17" s="45">
        <f>N('მომწოდებლის ფორმა'!$N15)*N('მომწოდებლის ფორმა'!$AB15)</f>
        <v>0</v>
      </c>
      <c r="M17" s="45">
        <f t="shared" si="1"/>
        <v>0</v>
      </c>
      <c r="N17" s="45">
        <f>M17*'ფასი კლინიკებით'!$B$32</f>
        <v>0</v>
      </c>
    </row>
    <row r="18" spans="1:14" x14ac:dyDescent="0.3">
      <c r="A18" s="42" t="str">
        <f>'მომწოდებლის ფორმა'!A16</f>
        <v>რეაქტიული ცილა CRP G1</v>
      </c>
      <c r="B18" s="43">
        <f>IF(OR(N('მომწოდებლის ფორმა'!B16)&lt;=0,N('მომწოდებლის ფორმა'!$M16)=0,N('მომწოდებლის ფორმა'!$P16)=0),0,CEILING(MAX(('მომწოდებლის ფორმა'!B16+'ფასი კლინიკებით'!$B$33+IF(N('მომწოდებლის ფორმა'!$Q16)=0,0,30/'მომწოდებლის ფორმა'!$Q16*'ფასი კლინიკებით'!$B$34))/'მომწოდებლის ფორმა'!$M16,30/'მომწოდებლის ფორმა'!$P16),1))</f>
        <v>0</v>
      </c>
      <c r="C18" s="43">
        <f>IF(OR(N('მომწოდებლის ფორმა'!C16)&lt;=0,N('მომწოდებლის ფორმა'!$M16)=0,N('მომწოდებლის ფორმა'!$P16)=0),0,CEILING(MAX(('მომწოდებლის ფორმა'!C16+'ფასი კლინიკებით'!$B$33+IF(N('მომწოდებლის ფორმა'!$Q16)=0,0,30/'მომწოდებლის ფორმა'!$Q16*'ფასი კლინიკებით'!$B$34))/'მომწოდებლის ფორმა'!$M16,30/'მომწოდებლის ფორმა'!$P16),1))</f>
        <v>0</v>
      </c>
      <c r="D18" s="43">
        <f>IF(OR(N('მომწოდებლის ფორმა'!D16)&lt;=0,N('მომწოდებლის ფორმა'!$M16)=0,N('მომწოდებლის ფორმა'!$P16)=0),0,CEILING(MAX(('მომწოდებლის ფორმა'!D16+'ფასი კლინიკებით'!$B$33+IF(N('მომწოდებლის ფორმა'!$Q16)=0,0,30/'მომწოდებლის ფორმა'!$Q16*'ფასი კლინიკებით'!$B$34))/'მომწოდებლის ფორმა'!$M16,30/'მომწოდებლის ფორმა'!$P16),1))</f>
        <v>0</v>
      </c>
      <c r="E18" s="43">
        <f>IF(OR(N('მომწოდებლის ფორმა'!E16)&lt;=0,N('მომწოდებლის ფორმა'!$M16)=0,N('მომწოდებლის ფორმა'!$P16)=0),0,CEILING(MAX(('მომწოდებლის ფორმა'!E16+'ფასი კლინიკებით'!$B$33+IF(N('მომწოდებლის ფორმა'!$Q16)=0,0,30/'მომწოდებლის ფორმა'!$Q16*'ფასი კლინიკებით'!$B$34))/'მომწოდებლის ფორმა'!$M16,30/'მომწოდებლის ფორმა'!$P16),1))</f>
        <v>0</v>
      </c>
      <c r="F18" s="43">
        <f>IF(OR(N('მომწოდებლის ფორმა'!F16)&lt;=0,N('მომწოდებლის ფორმა'!$M16)=0,N('მომწოდებლის ფორმა'!$P16)=0),0,CEILING(MAX(('მომწოდებლის ფორმა'!F16+'ფასი კლინიკებით'!$B$33+IF(N('მომწოდებლის ფორმა'!$Q16)=0,0,30/'მომწოდებლის ფორმა'!$Q16*'ფასი კლინიკებით'!$B$34))/'მომწოდებლის ფორმა'!$M16,30/'მომწოდებლის ფორმა'!$P16),1))</f>
        <v>0</v>
      </c>
      <c r="G18" s="43">
        <f>IF(OR(N('მომწოდებლის ფორმა'!G16)&lt;=0,N('მომწოდებლის ფორმა'!$M16)=0,N('მომწოდებლის ფორმა'!$P16)=0),0,CEILING(MAX(('მომწოდებლის ფორმა'!G16+'ფასი კლინიკებით'!$B$33+IF(N('მომწოდებლის ფორმა'!$Q16)=0,0,30/'მომწოდებლის ფორმა'!$Q16*'ფასი კლინიკებით'!$B$34))/'მომწოდებლის ფორმა'!$M16,30/'მომწოდებლის ფორმა'!$P16),1))</f>
        <v>0</v>
      </c>
      <c r="H18" s="43">
        <f>IF(OR(N('მომწოდებლის ფორმა'!H16)&lt;=0,N('მომწოდებლის ფორმა'!$M16)=0,N('მომწოდებლის ფორმა'!$P16)=0),0,CEILING(MAX(('მომწოდებლის ფორმა'!H16+'ფასი კლინიკებით'!$B$33+IF(N('მომწოდებლის ფორმა'!$Q16)=0,0,30/'მომწოდებლის ფორმა'!$Q16*'ფასი კლინიკებით'!$B$34))/'მომწოდებლის ფორმა'!$M16,30/'მომწოდებლის ფორმა'!$P16),1))</f>
        <v>0</v>
      </c>
      <c r="I18" s="43">
        <f>IF(OR(N('მომწოდებლის ფორმა'!I16)&lt;=0,N('მომწოდებლის ფორმა'!$M16)=0,N('მომწოდებლის ფორმა'!$P16)=0),0,CEILING(MAX(('მომწოდებლის ფორმა'!I16+'ფასი კლინიკებით'!$B$33+IF(N('მომწოდებლის ფორმა'!$Q16)=0,0,30/'მომწოდებლის ფორმა'!$Q16*'ფასი კლინიკებით'!$B$34))/'მომწოდებლის ფორმა'!$M16,30/'მომწოდებლის ფორმა'!$P16),1))</f>
        <v>0</v>
      </c>
      <c r="J18" s="43">
        <f t="shared" si="0"/>
        <v>0</v>
      </c>
      <c r="K18" s="44">
        <f>IF(N('მომწოდებლის ფორმა'!$K16)=0,0,CEILING(J18/'მომწოდებლის ფორმა'!$K16,1))</f>
        <v>0</v>
      </c>
      <c r="L18" s="45">
        <f>N('მომწოდებლის ფორმა'!$N16)*N('მომწოდებლის ფორმა'!$AB16)</f>
        <v>0</v>
      </c>
      <c r="M18" s="45">
        <f t="shared" si="1"/>
        <v>0</v>
      </c>
      <c r="N18" s="45">
        <f>M18*'ფასი კლინიკებით'!$B$32</f>
        <v>0</v>
      </c>
    </row>
    <row r="19" spans="1:14" x14ac:dyDescent="0.3">
      <c r="A19" s="42" t="str">
        <f>'მომწოდებლის ფორმა'!A17</f>
        <v>a-ამილაზა AMY G1</v>
      </c>
      <c r="B19" s="43">
        <f>IF(OR(N('მომწოდებლის ფორმა'!B17)&lt;=0,N('მომწოდებლის ფორმა'!$M17)=0,N('მომწოდებლის ფორმა'!$P17)=0),0,CEILING(MAX(('მომწოდებლის ფორმა'!B17+'ფასი კლინიკებით'!$B$33+IF(N('მომწოდებლის ფორმა'!$Q17)=0,0,30/'მომწოდებლის ფორმა'!$Q17*'ფასი კლინიკებით'!$B$34))/'მომწოდებლის ფორმა'!$M17,30/'მომწოდებლის ფორმა'!$P17),1))</f>
        <v>0</v>
      </c>
      <c r="C19" s="43">
        <f>IF(OR(N('მომწოდებლის ფორმა'!C17)&lt;=0,N('მომწოდებლის ფორმა'!$M17)=0,N('მომწოდებლის ფორმა'!$P17)=0),0,CEILING(MAX(('მომწოდებლის ფორმა'!C17+'ფასი კლინიკებით'!$B$33+IF(N('მომწოდებლის ფორმა'!$Q17)=0,0,30/'მომწოდებლის ფორმა'!$Q17*'ფასი კლინიკებით'!$B$34))/'მომწოდებლის ფორმა'!$M17,30/'მომწოდებლის ფორმა'!$P17),1))</f>
        <v>0</v>
      </c>
      <c r="D19" s="43">
        <f>IF(OR(N('მომწოდებლის ფორმა'!D17)&lt;=0,N('მომწოდებლის ფორმა'!$M17)=0,N('მომწოდებლის ფორმა'!$P17)=0),0,CEILING(MAX(('მომწოდებლის ფორმა'!D17+'ფასი კლინიკებით'!$B$33+IF(N('მომწოდებლის ფორმა'!$Q17)=0,0,30/'მომწოდებლის ფორმა'!$Q17*'ფასი კლინიკებით'!$B$34))/'მომწოდებლის ფორმა'!$M17,30/'მომწოდებლის ფორმა'!$P17),1))</f>
        <v>0</v>
      </c>
      <c r="E19" s="43">
        <f>IF(OR(N('მომწოდებლის ფორმა'!E17)&lt;=0,N('მომწოდებლის ფორმა'!$M17)=0,N('მომწოდებლის ფორმა'!$P17)=0),0,CEILING(MAX(('მომწოდებლის ფორმა'!E17+'ფასი კლინიკებით'!$B$33+IF(N('მომწოდებლის ფორმა'!$Q17)=0,0,30/'მომწოდებლის ფორმა'!$Q17*'ფასი კლინიკებით'!$B$34))/'მომწოდებლის ფორმა'!$M17,30/'მომწოდებლის ფორმა'!$P17),1))</f>
        <v>0</v>
      </c>
      <c r="F19" s="43">
        <f>IF(OR(N('მომწოდებლის ფორმა'!F17)&lt;=0,N('მომწოდებლის ფორმა'!$M17)=0,N('მომწოდებლის ფორმა'!$P17)=0),0,CEILING(MAX(('მომწოდებლის ფორმა'!F17+'ფასი კლინიკებით'!$B$33+IF(N('მომწოდებლის ფორმა'!$Q17)=0,0,30/'მომწოდებლის ფორმა'!$Q17*'ფასი კლინიკებით'!$B$34))/'მომწოდებლის ფორმა'!$M17,30/'მომწოდებლის ფორმა'!$P17),1))</f>
        <v>0</v>
      </c>
      <c r="G19" s="43">
        <f>IF(OR(N('მომწოდებლის ფორმა'!G17)&lt;=0,N('მომწოდებლის ფორმა'!$M17)=0,N('მომწოდებლის ფორმა'!$P17)=0),0,CEILING(MAX(('მომწოდებლის ფორმა'!G17+'ფასი კლინიკებით'!$B$33+IF(N('მომწოდებლის ფორმა'!$Q17)=0,0,30/'მომწოდებლის ფორმა'!$Q17*'ფასი კლინიკებით'!$B$34))/'მომწოდებლის ფორმა'!$M17,30/'მომწოდებლის ფორმა'!$P17),1))</f>
        <v>0</v>
      </c>
      <c r="H19" s="43">
        <f>IF(OR(N('მომწოდებლის ფორმა'!H17)&lt;=0,N('მომწოდებლის ფორმა'!$M17)=0,N('მომწოდებლის ფორმა'!$P17)=0),0,CEILING(MAX(('მომწოდებლის ფორმა'!H17+'ფასი კლინიკებით'!$B$33+IF(N('მომწოდებლის ფორმა'!$Q17)=0,0,30/'მომწოდებლის ფორმა'!$Q17*'ფასი კლინიკებით'!$B$34))/'მომწოდებლის ფორმა'!$M17,30/'მომწოდებლის ფორმა'!$P17),1))</f>
        <v>0</v>
      </c>
      <c r="I19" s="43">
        <f>IF(OR(N('მომწოდებლის ფორმა'!I17)&lt;=0,N('მომწოდებლის ფორმა'!$M17)=0,N('მომწოდებლის ფორმა'!$P17)=0),0,CEILING(MAX(('მომწოდებლის ფორმა'!I17+'ფასი კლინიკებით'!$B$33+IF(N('მომწოდებლის ფორმა'!$Q17)=0,0,30/'მომწოდებლის ფორმა'!$Q17*'ფასი კლინიკებით'!$B$34))/'მომწოდებლის ფორმა'!$M17,30/'მომწოდებლის ფორმა'!$P17),1))</f>
        <v>0</v>
      </c>
      <c r="J19" s="43">
        <f t="shared" si="0"/>
        <v>0</v>
      </c>
      <c r="K19" s="44">
        <f>IF(N('მომწოდებლის ფორმა'!$K17)=0,0,CEILING(J19/'მომწოდებლის ფორმა'!$K17,1))</f>
        <v>0</v>
      </c>
      <c r="L19" s="45">
        <f>N('მომწოდებლის ფორმა'!$N17)*N('მომწოდებლის ფორმა'!$AB17)</f>
        <v>0</v>
      </c>
      <c r="M19" s="45">
        <f t="shared" si="1"/>
        <v>0</v>
      </c>
      <c r="N19" s="45">
        <f>M19*'ფასი კლინიკებით'!$B$32</f>
        <v>0</v>
      </c>
    </row>
    <row r="20" spans="1:14" x14ac:dyDescent="0.3">
      <c r="A20" s="42" t="str">
        <f>'მომწოდებლის ფორმა'!A18</f>
        <v>მაღალი სიმკვრივის ლიპოპროტეინ ქოლესტეროლი HDL-C G1</v>
      </c>
      <c r="B20" s="43">
        <f>IF(OR(N('მომწოდებლის ფორმა'!B18)&lt;=0,N('მომწოდებლის ფორმა'!$M18)=0,N('მომწოდებლის ფორმა'!$P18)=0),0,CEILING(MAX(('მომწოდებლის ფორმა'!B18+'ფასი კლინიკებით'!$B$33+IF(N('მომწოდებლის ფორმა'!$Q18)=0,0,30/'მომწოდებლის ფორმა'!$Q18*'ფასი კლინიკებით'!$B$34))/'მომწოდებლის ფორმა'!$M18,30/'მომწოდებლის ფორმა'!$P18),1))</f>
        <v>0</v>
      </c>
      <c r="C20" s="43">
        <f>IF(OR(N('მომწოდებლის ფორმა'!C18)&lt;=0,N('მომწოდებლის ფორმა'!$M18)=0,N('მომწოდებლის ფორმა'!$P18)=0),0,CEILING(MAX(('მომწოდებლის ფორმა'!C18+'ფასი კლინიკებით'!$B$33+IF(N('მომწოდებლის ფორმა'!$Q18)=0,0,30/'მომწოდებლის ფორმა'!$Q18*'ფასი კლინიკებით'!$B$34))/'მომწოდებლის ფორმა'!$M18,30/'მომწოდებლის ფორმა'!$P18),1))</f>
        <v>0</v>
      </c>
      <c r="D20" s="43">
        <f>IF(OR(N('მომწოდებლის ფორმა'!D18)&lt;=0,N('მომწოდებლის ფორმა'!$M18)=0,N('მომწოდებლის ფორმა'!$P18)=0),0,CEILING(MAX(('მომწოდებლის ფორმა'!D18+'ფასი კლინიკებით'!$B$33+IF(N('მომწოდებლის ფორმა'!$Q18)=0,0,30/'მომწოდებლის ფორმა'!$Q18*'ფასი კლინიკებით'!$B$34))/'მომწოდებლის ფორმა'!$M18,30/'მომწოდებლის ფორმა'!$P18),1))</f>
        <v>0</v>
      </c>
      <c r="E20" s="43">
        <f>IF(OR(N('მომწოდებლის ფორმა'!E18)&lt;=0,N('მომწოდებლის ფორმა'!$M18)=0,N('მომწოდებლის ფორმა'!$P18)=0),0,CEILING(MAX(('მომწოდებლის ფორმა'!E18+'ფასი კლინიკებით'!$B$33+IF(N('მომწოდებლის ფორმა'!$Q18)=0,0,30/'მომწოდებლის ფორმა'!$Q18*'ფასი კლინიკებით'!$B$34))/'მომწოდებლის ფორმა'!$M18,30/'მომწოდებლის ფორმა'!$P18),1))</f>
        <v>0</v>
      </c>
      <c r="F20" s="43">
        <f>IF(OR(N('მომწოდებლის ფორმა'!F18)&lt;=0,N('მომწოდებლის ფორმა'!$M18)=0,N('მომწოდებლის ფორმა'!$P18)=0),0,CEILING(MAX(('მომწოდებლის ფორმა'!F18+'ფასი კლინიკებით'!$B$33+IF(N('მომწოდებლის ფორმა'!$Q18)=0,0,30/'მომწოდებლის ფორმა'!$Q18*'ფასი კლინიკებით'!$B$34))/'მომწოდებლის ფორმა'!$M18,30/'მომწოდებლის ფორმა'!$P18),1))</f>
        <v>0</v>
      </c>
      <c r="G20" s="43">
        <f>IF(OR(N('მომწოდებლის ფორმა'!G18)&lt;=0,N('მომწოდებლის ფორმა'!$M18)=0,N('მომწოდებლის ფორმა'!$P18)=0),0,CEILING(MAX(('მომწოდებლის ფორმა'!G18+'ფასი კლინიკებით'!$B$33+IF(N('მომწოდებლის ფორმა'!$Q18)=0,0,30/'მომწოდებლის ფორმა'!$Q18*'ფასი კლინიკებით'!$B$34))/'მომწოდებლის ფორმა'!$M18,30/'მომწოდებლის ფორმა'!$P18),1))</f>
        <v>0</v>
      </c>
      <c r="H20" s="43">
        <f>IF(OR(N('მომწოდებლის ფორმა'!H18)&lt;=0,N('მომწოდებლის ფორმა'!$M18)=0,N('მომწოდებლის ფორმა'!$P18)=0),0,CEILING(MAX(('მომწოდებლის ფორმა'!H18+'ფასი კლინიკებით'!$B$33+IF(N('მომწოდებლის ფორმა'!$Q18)=0,0,30/'მომწოდებლის ფორმა'!$Q18*'ფასი კლინიკებით'!$B$34))/'მომწოდებლის ფორმა'!$M18,30/'მომწოდებლის ფორმა'!$P18),1))</f>
        <v>0</v>
      </c>
      <c r="I20" s="43">
        <f>IF(OR(N('მომწოდებლის ფორმა'!I18)&lt;=0,N('მომწოდებლის ფორმა'!$M18)=0,N('მომწოდებლის ფორმა'!$P18)=0),0,CEILING(MAX(('მომწოდებლის ფორმა'!I18+'ფასი კლინიკებით'!$B$33+IF(N('მომწოდებლის ფორმა'!$Q18)=0,0,30/'მომწოდებლის ფორმა'!$Q18*'ფასი კლინიკებით'!$B$34))/'მომწოდებლის ფორმა'!$M18,30/'მომწოდებლის ფორმა'!$P18),1))</f>
        <v>0</v>
      </c>
      <c r="J20" s="43">
        <f t="shared" si="0"/>
        <v>0</v>
      </c>
      <c r="K20" s="44">
        <f>IF(N('მომწოდებლის ფორმა'!$K18)=0,0,CEILING(J20/'მომწოდებლის ფორმა'!$K18,1))</f>
        <v>0</v>
      </c>
      <c r="L20" s="45">
        <f>N('მომწოდებლის ფორმა'!$N18)*N('მომწოდებლის ფორმა'!$AB18)</f>
        <v>0</v>
      </c>
      <c r="M20" s="45">
        <f t="shared" si="1"/>
        <v>0</v>
      </c>
      <c r="N20" s="45">
        <f>M20*'ფასი კლინიკებით'!$B$32</f>
        <v>0</v>
      </c>
    </row>
    <row r="21" spans="1:14" x14ac:dyDescent="0.3">
      <c r="A21" s="42" t="str">
        <f>'მომწოდებლის ფორმა'!A19</f>
        <v>დაბალი სიმკვრივის ლიპოპროტეინ ქოლესტეროლი LDL-C G1</v>
      </c>
      <c r="B21" s="43">
        <f>IF(OR(N('მომწოდებლის ფორმა'!B19)&lt;=0,N('მომწოდებლის ფორმა'!$M19)=0,N('მომწოდებლის ფორმა'!$P19)=0),0,CEILING(MAX(('მომწოდებლის ფორმა'!B19+'ფასი კლინიკებით'!$B$33+IF(N('მომწოდებლის ფორმა'!$Q19)=0,0,30/'მომწოდებლის ფორმა'!$Q19*'ფასი კლინიკებით'!$B$34))/'მომწოდებლის ფორმა'!$M19,30/'მომწოდებლის ფორმა'!$P19),1))</f>
        <v>0</v>
      </c>
      <c r="C21" s="43">
        <f>IF(OR(N('მომწოდებლის ფორმა'!C19)&lt;=0,N('მომწოდებლის ფორმა'!$M19)=0,N('მომწოდებლის ფორმა'!$P19)=0),0,CEILING(MAX(('მომწოდებლის ფორმა'!C19+'ფასი კლინიკებით'!$B$33+IF(N('მომწოდებლის ფორმა'!$Q19)=0,0,30/'მომწოდებლის ფორმა'!$Q19*'ფასი კლინიკებით'!$B$34))/'მომწოდებლის ფორმა'!$M19,30/'მომწოდებლის ფორმა'!$P19),1))</f>
        <v>0</v>
      </c>
      <c r="D21" s="43">
        <f>IF(OR(N('მომწოდებლის ფორმა'!D19)&lt;=0,N('მომწოდებლის ფორმა'!$M19)=0,N('მომწოდებლის ფორმა'!$P19)=0),0,CEILING(MAX(('მომწოდებლის ფორმა'!D19+'ფასი კლინიკებით'!$B$33+IF(N('მომწოდებლის ფორმა'!$Q19)=0,0,30/'მომწოდებლის ფორმა'!$Q19*'ფასი კლინიკებით'!$B$34))/'მომწოდებლის ფორმა'!$M19,30/'მომწოდებლის ფორმა'!$P19),1))</f>
        <v>0</v>
      </c>
      <c r="E21" s="43">
        <f>IF(OR(N('მომწოდებლის ფორმა'!E19)&lt;=0,N('მომწოდებლის ფორმა'!$M19)=0,N('მომწოდებლის ფორმა'!$P19)=0),0,CEILING(MAX(('მომწოდებლის ფორმა'!E19+'ფასი კლინიკებით'!$B$33+IF(N('მომწოდებლის ფორმა'!$Q19)=0,0,30/'მომწოდებლის ფორმა'!$Q19*'ფასი კლინიკებით'!$B$34))/'მომწოდებლის ფორმა'!$M19,30/'მომწოდებლის ფორმა'!$P19),1))</f>
        <v>0</v>
      </c>
      <c r="F21" s="43">
        <f>IF(OR(N('მომწოდებლის ფორმა'!F19)&lt;=0,N('მომწოდებლის ფორმა'!$M19)=0,N('მომწოდებლის ფორმა'!$P19)=0),0,CEILING(MAX(('მომწოდებლის ფორმა'!F19+'ფასი კლინიკებით'!$B$33+IF(N('მომწოდებლის ფორმა'!$Q19)=0,0,30/'მომწოდებლის ფორმა'!$Q19*'ფასი კლინიკებით'!$B$34))/'მომწოდებლის ფორმა'!$M19,30/'მომწოდებლის ფორმა'!$P19),1))</f>
        <v>0</v>
      </c>
      <c r="G21" s="43">
        <f>IF(OR(N('მომწოდებლის ფორმა'!G19)&lt;=0,N('მომწოდებლის ფორმა'!$M19)=0,N('მომწოდებლის ფორმა'!$P19)=0),0,CEILING(MAX(('მომწოდებლის ფორმა'!G19+'ფასი კლინიკებით'!$B$33+IF(N('მომწოდებლის ფორმა'!$Q19)=0,0,30/'მომწოდებლის ფორმა'!$Q19*'ფასი კლინიკებით'!$B$34))/'მომწოდებლის ფორმა'!$M19,30/'მომწოდებლის ფორმა'!$P19),1))</f>
        <v>0</v>
      </c>
      <c r="H21" s="43">
        <f>IF(OR(N('მომწოდებლის ფორმა'!H19)&lt;=0,N('მომწოდებლის ფორმა'!$M19)=0,N('მომწოდებლის ფორმა'!$P19)=0),0,CEILING(MAX(('მომწოდებლის ფორმა'!H19+'ფასი კლინიკებით'!$B$33+IF(N('მომწოდებლის ფორმა'!$Q19)=0,0,30/'მომწოდებლის ფორმა'!$Q19*'ფასი კლინიკებით'!$B$34))/'მომწოდებლის ფორმა'!$M19,30/'მომწოდებლის ფორმა'!$P19),1))</f>
        <v>0</v>
      </c>
      <c r="I21" s="43">
        <f>IF(OR(N('მომწოდებლის ფორმა'!I19)&lt;=0,N('მომწოდებლის ფორმა'!$M19)=0,N('მომწოდებლის ფორმა'!$P19)=0),0,CEILING(MAX(('მომწოდებლის ფორმა'!I19+'ფასი კლინიკებით'!$B$33+IF(N('მომწოდებლის ფორმა'!$Q19)=0,0,30/'მომწოდებლის ფორმა'!$Q19*'ფასი კლინიკებით'!$B$34))/'მომწოდებლის ფორმა'!$M19,30/'მომწოდებლის ფორმა'!$P19),1))</f>
        <v>0</v>
      </c>
      <c r="J21" s="43">
        <f t="shared" si="0"/>
        <v>0</v>
      </c>
      <c r="K21" s="44">
        <f>IF(N('მომწოდებლის ფორმა'!$K19)=0,0,CEILING(J21/'მომწოდებლის ფორმა'!$K19,1))</f>
        <v>0</v>
      </c>
      <c r="L21" s="45">
        <f>N('მომწოდებლის ფორმა'!$N19)*N('მომწოდებლის ფორმა'!$AB19)</f>
        <v>0</v>
      </c>
      <c r="M21" s="45">
        <f t="shared" si="1"/>
        <v>0</v>
      </c>
      <c r="N21" s="45">
        <f>M21*'ფასი კლინიკებით'!$B$32</f>
        <v>0</v>
      </c>
    </row>
    <row r="22" spans="1:14" x14ac:dyDescent="0.3">
      <c r="A22" s="42" t="str">
        <f>'მომწოდებლის ფორმა'!A20</f>
        <v>ტრიგლიცერიდი TG G1</v>
      </c>
      <c r="B22" s="43">
        <f>IF(OR(N('მომწოდებლის ფორმა'!B20)&lt;=0,N('მომწოდებლის ფორმა'!$M20)=0,N('მომწოდებლის ფორმა'!$P20)=0),0,CEILING(MAX(('მომწოდებლის ფორმა'!B20+'ფასი კლინიკებით'!$B$33+IF(N('მომწოდებლის ფორმა'!$Q20)=0,0,30/'მომწოდებლის ფორმა'!$Q20*'ფასი კლინიკებით'!$B$34))/'მომწოდებლის ფორმა'!$M20,30/'მომწოდებლის ფორმა'!$P20),1))</f>
        <v>0</v>
      </c>
      <c r="C22" s="43">
        <f>IF(OR(N('მომწოდებლის ფორმა'!C20)&lt;=0,N('მომწოდებლის ფორმა'!$M20)=0,N('მომწოდებლის ფორმა'!$P20)=0),0,CEILING(MAX(('მომწოდებლის ფორმა'!C20+'ფასი კლინიკებით'!$B$33+IF(N('მომწოდებლის ფორმა'!$Q20)=0,0,30/'მომწოდებლის ფორმა'!$Q20*'ფასი კლინიკებით'!$B$34))/'მომწოდებლის ფორმა'!$M20,30/'მომწოდებლის ფორმა'!$P20),1))</f>
        <v>0</v>
      </c>
      <c r="D22" s="43">
        <f>IF(OR(N('მომწოდებლის ფორმა'!D20)&lt;=0,N('მომწოდებლის ფორმა'!$M20)=0,N('მომწოდებლის ფორმა'!$P20)=0),0,CEILING(MAX(('მომწოდებლის ფორმა'!D20+'ფასი კლინიკებით'!$B$33+IF(N('მომწოდებლის ფორმა'!$Q20)=0,0,30/'მომწოდებლის ფორმა'!$Q20*'ფასი კლინიკებით'!$B$34))/'მომწოდებლის ფორმა'!$M20,30/'მომწოდებლის ფორმა'!$P20),1))</f>
        <v>0</v>
      </c>
      <c r="E22" s="43">
        <f>IF(OR(N('მომწოდებლის ფორმა'!E20)&lt;=0,N('მომწოდებლის ფორმა'!$M20)=0,N('მომწოდებლის ფორმა'!$P20)=0),0,CEILING(MAX(('მომწოდებლის ფორმა'!E20+'ფასი კლინიკებით'!$B$33+IF(N('მომწოდებლის ფორმა'!$Q20)=0,0,30/'მომწოდებლის ფორმა'!$Q20*'ფასი კლინიკებით'!$B$34))/'მომწოდებლის ფორმა'!$M20,30/'მომწოდებლის ფორმა'!$P20),1))</f>
        <v>0</v>
      </c>
      <c r="F22" s="43">
        <f>IF(OR(N('მომწოდებლის ფორმა'!F20)&lt;=0,N('მომწოდებლის ფორმა'!$M20)=0,N('მომწოდებლის ფორმა'!$P20)=0),0,CEILING(MAX(('მომწოდებლის ფორმა'!F20+'ფასი კლინიკებით'!$B$33+IF(N('მომწოდებლის ფორმა'!$Q20)=0,0,30/'მომწოდებლის ფორმა'!$Q20*'ფასი კლინიკებით'!$B$34))/'მომწოდებლის ფორმა'!$M20,30/'მომწოდებლის ფორმა'!$P20),1))</f>
        <v>0</v>
      </c>
      <c r="G22" s="43">
        <f>IF(OR(N('მომწოდებლის ფორმა'!G20)&lt;=0,N('მომწოდებლის ფორმა'!$M20)=0,N('მომწოდებლის ფორმა'!$P20)=0),0,CEILING(MAX(('მომწოდებლის ფორმა'!G20+'ფასი კლინიკებით'!$B$33+IF(N('მომწოდებლის ფორმა'!$Q20)=0,0,30/'მომწოდებლის ფორმა'!$Q20*'ფასი კლინიკებით'!$B$34))/'მომწოდებლის ფორმა'!$M20,30/'მომწოდებლის ფორმა'!$P20),1))</f>
        <v>0</v>
      </c>
      <c r="H22" s="43">
        <f>IF(OR(N('მომწოდებლის ფორმა'!H20)&lt;=0,N('მომწოდებლის ფორმა'!$M20)=0,N('მომწოდებლის ფორმა'!$P20)=0),0,CEILING(MAX(('მომწოდებლის ფორმა'!H20+'ფასი კლინიკებით'!$B$33+IF(N('მომწოდებლის ფორმა'!$Q20)=0,0,30/'მომწოდებლის ფორმა'!$Q20*'ფასი კლინიკებით'!$B$34))/'მომწოდებლის ფორმა'!$M20,30/'მომწოდებლის ფორმა'!$P20),1))</f>
        <v>0</v>
      </c>
      <c r="I22" s="43">
        <f>IF(OR(N('მომწოდებლის ფორმა'!I20)&lt;=0,N('მომწოდებლის ფორმა'!$M20)=0,N('მომწოდებლის ფორმა'!$P20)=0),0,CEILING(MAX(('მომწოდებლის ფორმა'!I20+'ფასი კლინიკებით'!$B$33+IF(N('მომწოდებლის ფორმა'!$Q20)=0,0,30/'მომწოდებლის ფორმა'!$Q20*'ფასი კლინიკებით'!$B$34))/'მომწოდებლის ფორმა'!$M20,30/'მომწოდებლის ფორმა'!$P20),1))</f>
        <v>0</v>
      </c>
      <c r="J22" s="43">
        <f t="shared" si="0"/>
        <v>0</v>
      </c>
      <c r="K22" s="44">
        <f>IF(N('მომწოდებლის ფორმა'!$K20)=0,0,CEILING(J22/'მომწოდებლის ფორმა'!$K20,1))</f>
        <v>0</v>
      </c>
      <c r="L22" s="45">
        <f>N('მომწოდებლის ფორმა'!$N20)*N('მომწოდებლის ფორმა'!$AB20)</f>
        <v>0</v>
      </c>
      <c r="M22" s="45">
        <f t="shared" si="1"/>
        <v>0</v>
      </c>
      <c r="N22" s="45">
        <f>M22*'ფასი კლინიკებით'!$B$32</f>
        <v>0</v>
      </c>
    </row>
    <row r="23" spans="1:14" x14ac:dyDescent="0.3">
      <c r="A23" s="42" t="str">
        <f>'მომწოდებლის ფორმა'!A21</f>
        <v>პირდაპირი ბილირუბინი DBIL G1</v>
      </c>
      <c r="B23" s="43">
        <f>IF(OR(N('მომწოდებლის ფორმა'!B21)&lt;=0,N('მომწოდებლის ფორმა'!$M21)=0,N('მომწოდებლის ფორმა'!$P21)=0),0,CEILING(MAX(('მომწოდებლის ფორმა'!B21+'ფასი კლინიკებით'!$B$33+IF(N('მომწოდებლის ფორმა'!$Q21)=0,0,30/'მომწოდებლის ფორმა'!$Q21*'ფასი კლინიკებით'!$B$34))/'მომწოდებლის ფორმა'!$M21,30/'მომწოდებლის ფორმა'!$P21),1))</f>
        <v>0</v>
      </c>
      <c r="C23" s="43">
        <f>IF(OR(N('მომწოდებლის ფორმა'!C21)&lt;=0,N('მომწოდებლის ფორმა'!$M21)=0,N('მომწოდებლის ფორმა'!$P21)=0),0,CEILING(MAX(('მომწოდებლის ფორმა'!C21+'ფასი კლინიკებით'!$B$33+IF(N('მომწოდებლის ფორმა'!$Q21)=0,0,30/'მომწოდებლის ფორმა'!$Q21*'ფასი კლინიკებით'!$B$34))/'მომწოდებლის ფორმა'!$M21,30/'მომწოდებლის ფორმა'!$P21),1))</f>
        <v>0</v>
      </c>
      <c r="D23" s="43">
        <f>IF(OR(N('მომწოდებლის ფორმა'!D21)&lt;=0,N('მომწოდებლის ფორმა'!$M21)=0,N('მომწოდებლის ფორმა'!$P21)=0),0,CEILING(MAX(('მომწოდებლის ფორმა'!D21+'ფასი კლინიკებით'!$B$33+IF(N('მომწოდებლის ფორმა'!$Q21)=0,0,30/'მომწოდებლის ფორმა'!$Q21*'ფასი კლინიკებით'!$B$34))/'მომწოდებლის ფორმა'!$M21,30/'მომწოდებლის ფორმა'!$P21),1))</f>
        <v>0</v>
      </c>
      <c r="E23" s="43">
        <f>IF(OR(N('მომწოდებლის ფორმა'!E21)&lt;=0,N('მომწოდებლის ფორმა'!$M21)=0,N('მომწოდებლის ფორმა'!$P21)=0),0,CEILING(MAX(('მომწოდებლის ფორმა'!E21+'ფასი კლინიკებით'!$B$33+IF(N('მომწოდებლის ფორმა'!$Q21)=0,0,30/'მომწოდებლის ფორმა'!$Q21*'ფასი კლინიკებით'!$B$34))/'მომწოდებლის ფორმა'!$M21,30/'მომწოდებლის ფორმა'!$P21),1))</f>
        <v>0</v>
      </c>
      <c r="F23" s="43">
        <f>IF(OR(N('მომწოდებლის ფორმა'!F21)&lt;=0,N('მომწოდებლის ფორმა'!$M21)=0,N('მომწოდებლის ფორმა'!$P21)=0),0,CEILING(MAX(('მომწოდებლის ფორმა'!F21+'ფასი კლინიკებით'!$B$33+IF(N('მომწოდებლის ფორმა'!$Q21)=0,0,30/'მომწოდებლის ფორმა'!$Q21*'ფასი კლინიკებით'!$B$34))/'მომწოდებლის ფორმა'!$M21,30/'მომწოდებლის ფორმა'!$P21),1))</f>
        <v>0</v>
      </c>
      <c r="G23" s="43">
        <f>IF(OR(N('მომწოდებლის ფორმა'!G21)&lt;=0,N('მომწოდებლის ფორმა'!$M21)=0,N('მომწოდებლის ფორმა'!$P21)=0),0,CEILING(MAX(('მომწოდებლის ფორმა'!G21+'ფასი კლინიკებით'!$B$33+IF(N('მომწოდებლის ფორმა'!$Q21)=0,0,30/'მომწოდებლის ფორმა'!$Q21*'ფასი კლინიკებით'!$B$34))/'მომწოდებლის ფორმა'!$M21,30/'მომწოდებლის ფორმა'!$P21),1))</f>
        <v>0</v>
      </c>
      <c r="H23" s="43">
        <f>IF(OR(N('მომწოდებლის ფორმა'!H21)&lt;=0,N('მომწოდებლის ფორმა'!$M21)=0,N('მომწოდებლის ფორმა'!$P21)=0),0,CEILING(MAX(('მომწოდებლის ფორმა'!H21+'ფასი კლინიკებით'!$B$33+IF(N('მომწოდებლის ფორმა'!$Q21)=0,0,30/'მომწოდებლის ფორმა'!$Q21*'ფასი კლინიკებით'!$B$34))/'მომწოდებლის ფორმა'!$M21,30/'მომწოდებლის ფორმა'!$P21),1))</f>
        <v>0</v>
      </c>
      <c r="I23" s="43">
        <f>IF(OR(N('მომწოდებლის ფორმა'!I21)&lt;=0,N('მომწოდებლის ფორმა'!$M21)=0,N('მომწოდებლის ფორმა'!$P21)=0),0,CEILING(MAX(('მომწოდებლის ფორმა'!I21+'ფასი კლინიკებით'!$B$33+IF(N('მომწოდებლის ფორმა'!$Q21)=0,0,30/'მომწოდებლის ფორმა'!$Q21*'ფასი კლინიკებით'!$B$34))/'მომწოდებლის ფორმა'!$M21,30/'მომწოდებლის ფორმა'!$P21),1))</f>
        <v>0</v>
      </c>
      <c r="J23" s="43">
        <f t="shared" si="0"/>
        <v>0</v>
      </c>
      <c r="K23" s="44">
        <f>IF(N('მომწოდებლის ფორმა'!$K21)=0,0,CEILING(J23/'მომწოდებლის ფორმა'!$K21,1))</f>
        <v>0</v>
      </c>
      <c r="L23" s="45">
        <f>N('მომწოდებლის ფორმა'!$N21)*N('მომწოდებლის ფორმა'!$AB21)</f>
        <v>0</v>
      </c>
      <c r="M23" s="45">
        <f t="shared" si="1"/>
        <v>0</v>
      </c>
      <c r="N23" s="45">
        <f>M23*'ფასი კლინიკებით'!$B$32</f>
        <v>0</v>
      </c>
    </row>
    <row r="24" spans="1:14" x14ac:dyDescent="0.3">
      <c r="A24" s="42" t="str">
        <f>'მომწოდებლის ფორმა'!A22</f>
        <v>სრული ქოლესტეროლი TC G1</v>
      </c>
      <c r="B24" s="43">
        <f>IF(OR(N('მომწოდებლის ფორმა'!B22)&lt;=0,N('მომწოდებლის ფორმა'!$M22)=0,N('მომწოდებლის ფორმა'!$P22)=0),0,CEILING(MAX(('მომწოდებლის ფორმა'!B22+'ფასი კლინიკებით'!$B$33+IF(N('მომწოდებლის ფორმა'!$Q22)=0,0,30/'მომწოდებლის ფორმა'!$Q22*'ფასი კლინიკებით'!$B$34))/'მომწოდებლის ფორმა'!$M22,30/'მომწოდებლის ფორმა'!$P22),1))</f>
        <v>0</v>
      </c>
      <c r="C24" s="43">
        <f>IF(OR(N('მომწოდებლის ფორმა'!C22)&lt;=0,N('მომწოდებლის ფორმა'!$M22)=0,N('მომწოდებლის ფორმა'!$P22)=0),0,CEILING(MAX(('მომწოდებლის ფორმა'!C22+'ფასი კლინიკებით'!$B$33+IF(N('მომწოდებლის ფორმა'!$Q22)=0,0,30/'მომწოდებლის ფორმა'!$Q22*'ფასი კლინიკებით'!$B$34))/'მომწოდებლის ფორმა'!$M22,30/'მომწოდებლის ფორმა'!$P22),1))</f>
        <v>0</v>
      </c>
      <c r="D24" s="43">
        <f>IF(OR(N('მომწოდებლის ფორმა'!D22)&lt;=0,N('მომწოდებლის ფორმა'!$M22)=0,N('მომწოდებლის ფორმა'!$P22)=0),0,CEILING(MAX(('მომწოდებლის ფორმა'!D22+'ფასი კლინიკებით'!$B$33+IF(N('მომწოდებლის ფორმა'!$Q22)=0,0,30/'მომწოდებლის ფორმა'!$Q22*'ფასი კლინიკებით'!$B$34))/'მომწოდებლის ფორმა'!$M22,30/'მომწოდებლის ფორმა'!$P22),1))</f>
        <v>0</v>
      </c>
      <c r="E24" s="43">
        <f>IF(OR(N('მომწოდებლის ფორმა'!E22)&lt;=0,N('მომწოდებლის ფორმა'!$M22)=0,N('მომწოდებლის ფორმა'!$P22)=0),0,CEILING(MAX(('მომწოდებლის ფორმა'!E22+'ფასი კლინიკებით'!$B$33+IF(N('მომწოდებლის ფორმა'!$Q22)=0,0,30/'მომწოდებლის ფორმა'!$Q22*'ფასი კლინიკებით'!$B$34))/'მომწოდებლის ფორმა'!$M22,30/'მომწოდებლის ფორმა'!$P22),1))</f>
        <v>0</v>
      </c>
      <c r="F24" s="43">
        <f>IF(OR(N('მომწოდებლის ფორმა'!F22)&lt;=0,N('მომწოდებლის ფორმა'!$M22)=0,N('მომწოდებლის ფორმა'!$P22)=0),0,CEILING(MAX(('მომწოდებლის ფორმა'!F22+'ფასი კლინიკებით'!$B$33+IF(N('მომწოდებლის ფორმა'!$Q22)=0,0,30/'მომწოდებლის ფორმა'!$Q22*'ფასი კლინიკებით'!$B$34))/'მომწოდებლის ფორმა'!$M22,30/'მომწოდებლის ფორმა'!$P22),1))</f>
        <v>0</v>
      </c>
      <c r="G24" s="43">
        <f>IF(OR(N('მომწოდებლის ფორმა'!G22)&lt;=0,N('მომწოდებლის ფორმა'!$M22)=0,N('მომწოდებლის ფორმა'!$P22)=0),0,CEILING(MAX(('მომწოდებლის ფორმა'!G22+'ფასი კლინიკებით'!$B$33+IF(N('მომწოდებლის ფორმა'!$Q22)=0,0,30/'მომწოდებლის ფორმა'!$Q22*'ფასი კლინიკებით'!$B$34))/'მომწოდებლის ფორმა'!$M22,30/'მომწოდებლის ფორმა'!$P22),1))</f>
        <v>0</v>
      </c>
      <c r="H24" s="43">
        <f>IF(OR(N('მომწოდებლის ფორმა'!H22)&lt;=0,N('მომწოდებლის ფორმა'!$M22)=0,N('მომწოდებლის ფორმა'!$P22)=0),0,CEILING(MAX(('მომწოდებლის ფორმა'!H22+'ფასი კლინიკებით'!$B$33+IF(N('მომწოდებლის ფორმა'!$Q22)=0,0,30/'მომწოდებლის ფორმა'!$Q22*'ფასი კლინიკებით'!$B$34))/'მომწოდებლის ფორმა'!$M22,30/'მომწოდებლის ფორმა'!$P22),1))</f>
        <v>0</v>
      </c>
      <c r="I24" s="43">
        <f>IF(OR(N('მომწოდებლის ფორმა'!I22)&lt;=0,N('მომწოდებლის ფორმა'!$M22)=0,N('მომწოდებლის ფორმა'!$P22)=0),0,CEILING(MAX(('მომწოდებლის ფორმა'!I22+'ფასი კლინიკებით'!$B$33+IF(N('მომწოდებლის ფორმა'!$Q22)=0,0,30/'მომწოდებლის ფორმა'!$Q22*'ფასი კლინიკებით'!$B$34))/'მომწოდებლის ფორმა'!$M22,30/'მომწოდებლის ფორმა'!$P22),1))</f>
        <v>0</v>
      </c>
      <c r="J24" s="43">
        <f t="shared" si="0"/>
        <v>0</v>
      </c>
      <c r="K24" s="44">
        <f>IF(N('მომწოდებლის ფორმა'!$K22)=0,0,CEILING(J24/'მომწოდებლის ფორმა'!$K22,1))</f>
        <v>0</v>
      </c>
      <c r="L24" s="45">
        <f>N('მომწოდებლის ფორმა'!$N22)*N('მომწოდებლის ფორმა'!$AB22)</f>
        <v>0</v>
      </c>
      <c r="M24" s="45">
        <f t="shared" si="1"/>
        <v>0</v>
      </c>
      <c r="N24" s="45">
        <f>M24*'ფასი კლინიკებით'!$B$32</f>
        <v>0</v>
      </c>
    </row>
    <row r="25" spans="1:14" x14ac:dyDescent="0.3">
      <c r="A25" s="42" t="str">
        <f>'მომწოდებლის ფორმა'!A23</f>
        <v>მაგნიუმი Mg</v>
      </c>
      <c r="B25" s="43">
        <f>IF(OR(N('მომწოდებლის ფორმა'!B23)&lt;=0,N('მომწოდებლის ფორმა'!$M23)=0,N('მომწოდებლის ფორმა'!$P23)=0),0,CEILING(MAX(('მომწოდებლის ფორმა'!B23+'ფასი კლინიკებით'!$B$33+IF(N('მომწოდებლის ფორმა'!$Q23)=0,0,30/'მომწოდებლის ფორმა'!$Q23*'ფასი კლინიკებით'!$B$34))/'მომწოდებლის ფორმა'!$M23,30/'მომწოდებლის ფორმა'!$P23),1))</f>
        <v>0</v>
      </c>
      <c r="C25" s="43">
        <f>IF(OR(N('მომწოდებლის ფორმა'!C23)&lt;=0,N('მომწოდებლის ფორმა'!$M23)=0,N('მომწოდებლის ფორმა'!$P23)=0),0,CEILING(MAX(('მომწოდებლის ფორმა'!C23+'ფასი კლინიკებით'!$B$33+IF(N('მომწოდებლის ფორმა'!$Q23)=0,0,30/'მომწოდებლის ფორმა'!$Q23*'ფასი კლინიკებით'!$B$34))/'მომწოდებლის ფორმა'!$M23,30/'მომწოდებლის ფორმა'!$P23),1))</f>
        <v>0</v>
      </c>
      <c r="D25" s="43">
        <f>IF(OR(N('მომწოდებლის ფორმა'!D23)&lt;=0,N('მომწოდებლის ფორმა'!$M23)=0,N('მომწოდებლის ფორმა'!$P23)=0),0,CEILING(MAX(('მომწოდებლის ფორმა'!D23+'ფასი კლინიკებით'!$B$33+IF(N('მომწოდებლის ფორმა'!$Q23)=0,0,30/'მომწოდებლის ფორმა'!$Q23*'ფასი კლინიკებით'!$B$34))/'მომწოდებლის ფორმა'!$M23,30/'მომწოდებლის ფორმა'!$P23),1))</f>
        <v>0</v>
      </c>
      <c r="E25" s="43">
        <f>IF(OR(N('მომწოდებლის ფორმა'!E23)&lt;=0,N('მომწოდებლის ფორმა'!$M23)=0,N('მომწოდებლის ფორმა'!$P23)=0),0,CEILING(MAX(('მომწოდებლის ფორმა'!E23+'ფასი კლინიკებით'!$B$33+IF(N('მომწოდებლის ფორმა'!$Q23)=0,0,30/'მომწოდებლის ფორმა'!$Q23*'ფასი კლინიკებით'!$B$34))/'მომწოდებლის ფორმა'!$M23,30/'მომწოდებლის ფორმა'!$P23),1))</f>
        <v>0</v>
      </c>
      <c r="F25" s="43">
        <f>IF(OR(N('მომწოდებლის ფორმა'!F23)&lt;=0,N('მომწოდებლის ფორმა'!$M23)=0,N('მომწოდებლის ფორმა'!$P23)=0),0,CEILING(MAX(('მომწოდებლის ფორმა'!F23+'ფასი კლინიკებით'!$B$33+IF(N('მომწოდებლის ფორმა'!$Q23)=0,0,30/'მომწოდებლის ფორმა'!$Q23*'ფასი კლინიკებით'!$B$34))/'მომწოდებლის ფორმა'!$M23,30/'მომწოდებლის ფორმა'!$P23),1))</f>
        <v>0</v>
      </c>
      <c r="G25" s="43">
        <f>IF(OR(N('მომწოდებლის ფორმა'!G23)&lt;=0,N('მომწოდებლის ფორმა'!$M23)=0,N('მომწოდებლის ფორმა'!$P23)=0),0,CEILING(MAX(('მომწოდებლის ფორმა'!G23+'ფასი კლინიკებით'!$B$33+IF(N('მომწოდებლის ფორმა'!$Q23)=0,0,30/'მომწოდებლის ფორმა'!$Q23*'ფასი კლინიკებით'!$B$34))/'მომწოდებლის ფორმა'!$M23,30/'მომწოდებლის ფორმა'!$P23),1))</f>
        <v>0</v>
      </c>
      <c r="H25" s="43">
        <f>IF(OR(N('მომწოდებლის ფორმა'!H23)&lt;=0,N('მომწოდებლის ფორმა'!$M23)=0,N('მომწოდებლის ფორმა'!$P23)=0),0,CEILING(MAX(('მომწოდებლის ფორმა'!H23+'ფასი კლინიკებით'!$B$33+IF(N('მომწოდებლის ფორმა'!$Q23)=0,0,30/'მომწოდებლის ფორმა'!$Q23*'ფასი კლინიკებით'!$B$34))/'მომწოდებლის ფორმა'!$M23,30/'მომწოდებლის ფორმა'!$P23),1))</f>
        <v>0</v>
      </c>
      <c r="I25" s="43">
        <f>IF(OR(N('მომწოდებლის ფორმა'!I23)&lt;=0,N('მომწოდებლის ფორმა'!$M23)=0,N('მომწოდებლის ფორმა'!$P23)=0),0,CEILING(MAX(('მომწოდებლის ფორმა'!I23+'ფასი კლინიკებით'!$B$33+IF(N('მომწოდებლის ფორმა'!$Q23)=0,0,30/'მომწოდებლის ფორმა'!$Q23*'ფასი კლინიკებით'!$B$34))/'მომწოდებლის ფორმა'!$M23,30/'მომწოდებლის ფორმა'!$P23),1))</f>
        <v>0</v>
      </c>
      <c r="J25" s="43">
        <f t="shared" si="0"/>
        <v>0</v>
      </c>
      <c r="K25" s="44">
        <f>IF(N('მომწოდებლის ფორმა'!$K23)=0,0,CEILING(J25/'მომწოდებლის ფორმა'!$K23,1))</f>
        <v>0</v>
      </c>
      <c r="L25" s="45">
        <f>N('მომწოდებლის ფორმა'!$N23)*N('მომწოდებლის ფორმა'!$AB23)</f>
        <v>0</v>
      </c>
      <c r="M25" s="45">
        <f t="shared" si="1"/>
        <v>0</v>
      </c>
      <c r="N25" s="45">
        <f>M25*'ფასი კლინიკებით'!$B$32</f>
        <v>0</v>
      </c>
    </row>
    <row r="26" spans="1:14" x14ac:dyDescent="0.3">
      <c r="A26" s="42" t="str">
        <f>'მომწოდებლის ფორმა'!A24</f>
        <v>კალციუმი Ca G1</v>
      </c>
      <c r="B26" s="43">
        <f>IF(OR(N('მომწოდებლის ფორმა'!B24)&lt;=0,N('მომწოდებლის ფორმა'!$M24)=0,N('მომწოდებლის ფორმა'!$P24)=0),0,CEILING(MAX(('მომწოდებლის ფორმა'!B24+'ფასი კლინიკებით'!$B$33+IF(N('მომწოდებლის ფორმა'!$Q24)=0,0,30/'მომწოდებლის ფორმა'!$Q24*'ფასი კლინიკებით'!$B$34))/'მომწოდებლის ფორმა'!$M24,30/'მომწოდებლის ფორმა'!$P24),1))</f>
        <v>0</v>
      </c>
      <c r="C26" s="43">
        <f>IF(OR(N('მომწოდებლის ფორმა'!C24)&lt;=0,N('მომწოდებლის ფორმა'!$M24)=0,N('მომწოდებლის ფორმა'!$P24)=0),0,CEILING(MAX(('მომწოდებლის ფორმა'!C24+'ფასი კლინიკებით'!$B$33+IF(N('მომწოდებლის ფორმა'!$Q24)=0,0,30/'მომწოდებლის ფორმა'!$Q24*'ფასი კლინიკებით'!$B$34))/'მომწოდებლის ფორმა'!$M24,30/'მომწოდებლის ფორმა'!$P24),1))</f>
        <v>0</v>
      </c>
      <c r="D26" s="43">
        <f>IF(OR(N('მომწოდებლის ფორმა'!D24)&lt;=0,N('მომწოდებლის ფორმა'!$M24)=0,N('მომწოდებლის ფორმა'!$P24)=0),0,CEILING(MAX(('მომწოდებლის ფორმა'!D24+'ფასი კლინიკებით'!$B$33+IF(N('მომწოდებლის ფორმა'!$Q24)=0,0,30/'მომწოდებლის ფორმა'!$Q24*'ფასი კლინიკებით'!$B$34))/'მომწოდებლის ფორმა'!$M24,30/'მომწოდებლის ფორმა'!$P24),1))</f>
        <v>0</v>
      </c>
      <c r="E26" s="43">
        <f>IF(OR(N('მომწოდებლის ფორმა'!E24)&lt;=0,N('მომწოდებლის ფორმა'!$M24)=0,N('მომწოდებლის ფორმა'!$P24)=0),0,CEILING(MAX(('მომწოდებლის ფორმა'!E24+'ფასი კლინიკებით'!$B$33+IF(N('მომწოდებლის ფორმა'!$Q24)=0,0,30/'მომწოდებლის ფორმა'!$Q24*'ფასი კლინიკებით'!$B$34))/'მომწოდებლის ფორმა'!$M24,30/'მომწოდებლის ფორმა'!$P24),1))</f>
        <v>0</v>
      </c>
      <c r="F26" s="43">
        <f>IF(OR(N('მომწოდებლის ფორმა'!F24)&lt;=0,N('მომწოდებლის ფორმა'!$M24)=0,N('მომწოდებლის ფორმა'!$P24)=0),0,CEILING(MAX(('მომწოდებლის ფორმა'!F24+'ფასი კლინიკებით'!$B$33+IF(N('მომწოდებლის ფორმა'!$Q24)=0,0,30/'მომწოდებლის ფორმა'!$Q24*'ფასი კლინიკებით'!$B$34))/'მომწოდებლის ფორმა'!$M24,30/'მომწოდებლის ფორმა'!$P24),1))</f>
        <v>0</v>
      </c>
      <c r="G26" s="43">
        <f>IF(OR(N('მომწოდებლის ფორმა'!G24)&lt;=0,N('მომწოდებლის ფორმა'!$M24)=0,N('მომწოდებლის ფორმა'!$P24)=0),0,CEILING(MAX(('მომწოდებლის ფორმა'!G24+'ფასი კლინიკებით'!$B$33+IF(N('მომწოდებლის ფორმა'!$Q24)=0,0,30/'მომწოდებლის ფორმა'!$Q24*'ფასი კლინიკებით'!$B$34))/'მომწოდებლის ფორმა'!$M24,30/'მომწოდებლის ფორმა'!$P24),1))</f>
        <v>0</v>
      </c>
      <c r="H26" s="43">
        <f>IF(OR(N('მომწოდებლის ფორმა'!H24)&lt;=0,N('მომწოდებლის ფორმა'!$M24)=0,N('მომწოდებლის ფორმა'!$P24)=0),0,CEILING(MAX(('მომწოდებლის ფორმა'!H24+'ფასი კლინიკებით'!$B$33+IF(N('მომწოდებლის ფორმა'!$Q24)=0,0,30/'მომწოდებლის ფორმა'!$Q24*'ფასი კლინიკებით'!$B$34))/'მომწოდებლის ფორმა'!$M24,30/'მომწოდებლის ფორმა'!$P24),1))</f>
        <v>0</v>
      </c>
      <c r="I26" s="43">
        <f>IF(OR(N('მომწოდებლის ფორმა'!I24)&lt;=0,N('მომწოდებლის ფორმა'!$M24)=0,N('მომწოდებლის ფორმა'!$P24)=0),0,CEILING(MAX(('მომწოდებლის ფორმა'!I24+'ფასი კლინიკებით'!$B$33+IF(N('მომწოდებლის ფორმა'!$Q24)=0,0,30/'მომწოდებლის ფორმა'!$Q24*'ფასი კლინიკებით'!$B$34))/'მომწოდებლის ფორმა'!$M24,30/'მომწოდებლის ფორმა'!$P24),1))</f>
        <v>0</v>
      </c>
      <c r="J26" s="43">
        <f t="shared" si="0"/>
        <v>0</v>
      </c>
      <c r="K26" s="44">
        <f>IF(N('მომწოდებლის ფორმა'!$K24)=0,0,CEILING(J26/'მომწოდებლის ფორმა'!$K24,1))</f>
        <v>0</v>
      </c>
      <c r="L26" s="45">
        <f>N('მომწოდებლის ფორმა'!$N24)*N('მომწოდებლის ფორმა'!$AB24)</f>
        <v>0</v>
      </c>
      <c r="M26" s="45">
        <f t="shared" si="1"/>
        <v>0</v>
      </c>
      <c r="N26" s="45">
        <f>M26*'ფასი კლინიკებით'!$B$32</f>
        <v>0</v>
      </c>
    </row>
    <row r="27" spans="1:14" x14ac:dyDescent="0.3">
      <c r="A27" s="42" t="str">
        <f>'მომწოდებლის ფორმა'!A25</f>
        <v>არაორგანული ფოსფორი PHOS G1</v>
      </c>
      <c r="B27" s="43">
        <f>IF(OR(N('მომწოდებლის ფორმა'!B25)&lt;=0,N('მომწოდებლის ფორმა'!$M25)=0,N('მომწოდებლის ფორმა'!$P25)=0),0,CEILING(MAX(('მომწოდებლის ფორმა'!B25+'ფასი კლინიკებით'!$B$33+IF(N('მომწოდებლის ფორმა'!$Q25)=0,0,30/'მომწოდებლის ფორმა'!$Q25*'ფასი კლინიკებით'!$B$34))/'მომწოდებლის ფორმა'!$M25,30/'მომწოდებლის ფორმა'!$P25),1))</f>
        <v>0</v>
      </c>
      <c r="C27" s="43">
        <f>IF(OR(N('მომწოდებლის ფორმა'!C25)&lt;=0,N('მომწოდებლის ფორმა'!$M25)=0,N('მომწოდებლის ფორმა'!$P25)=0),0,CEILING(MAX(('მომწოდებლის ფორმა'!C25+'ფასი კლინიკებით'!$B$33+IF(N('მომწოდებლის ფორმა'!$Q25)=0,0,30/'მომწოდებლის ფორმა'!$Q25*'ფასი კლინიკებით'!$B$34))/'მომწოდებლის ფორმა'!$M25,30/'მომწოდებლის ფორმა'!$P25),1))</f>
        <v>0</v>
      </c>
      <c r="D27" s="43">
        <f>IF(OR(N('მომწოდებლის ფორმა'!D25)&lt;=0,N('მომწოდებლის ფორმა'!$M25)=0,N('მომწოდებლის ფორმა'!$P25)=0),0,CEILING(MAX(('მომწოდებლის ფორმა'!D25+'ფასი კლინიკებით'!$B$33+IF(N('მომწოდებლის ფორმა'!$Q25)=0,0,30/'მომწოდებლის ფორმა'!$Q25*'ფასი კლინიკებით'!$B$34))/'მომწოდებლის ფორმა'!$M25,30/'მომწოდებლის ფორმა'!$P25),1))</f>
        <v>0</v>
      </c>
      <c r="E27" s="43">
        <f>IF(OR(N('მომწოდებლის ფორმა'!E25)&lt;=0,N('მომწოდებლის ფორმა'!$M25)=0,N('მომწოდებლის ფორმა'!$P25)=0),0,CEILING(MAX(('მომწოდებლის ფორმა'!E25+'ფასი კლინიკებით'!$B$33+IF(N('მომწოდებლის ფორმა'!$Q25)=0,0,30/'მომწოდებლის ფორმა'!$Q25*'ფასი კლინიკებით'!$B$34))/'მომწოდებლის ფორმა'!$M25,30/'მომწოდებლის ფორმა'!$P25),1))</f>
        <v>0</v>
      </c>
      <c r="F27" s="43">
        <f>IF(OR(N('მომწოდებლის ფორმა'!F25)&lt;=0,N('მომწოდებლის ფორმა'!$M25)=0,N('მომწოდებლის ფორმა'!$P25)=0),0,CEILING(MAX(('მომწოდებლის ფორმა'!F25+'ფასი კლინიკებით'!$B$33+IF(N('მომწოდებლის ფორმა'!$Q25)=0,0,30/'მომწოდებლის ფორმა'!$Q25*'ფასი კლინიკებით'!$B$34))/'მომწოდებლის ფორმა'!$M25,30/'მომწოდებლის ფორმა'!$P25),1))</f>
        <v>0</v>
      </c>
      <c r="G27" s="43">
        <f>IF(OR(N('მომწოდებლის ფორმა'!G25)&lt;=0,N('მომწოდებლის ფორმა'!$M25)=0,N('მომწოდებლის ფორმა'!$P25)=0),0,CEILING(MAX(('მომწოდებლის ფორმა'!G25+'ფასი კლინიკებით'!$B$33+IF(N('მომწოდებლის ფორმა'!$Q25)=0,0,30/'მომწოდებლის ფორმა'!$Q25*'ფასი კლინიკებით'!$B$34))/'მომწოდებლის ფორმა'!$M25,30/'მომწოდებლის ფორმა'!$P25),1))</f>
        <v>0</v>
      </c>
      <c r="H27" s="43">
        <f>IF(OR(N('მომწოდებლის ფორმა'!H25)&lt;=0,N('მომწოდებლის ფორმა'!$M25)=0,N('მომწოდებლის ფორმა'!$P25)=0),0,CEILING(MAX(('მომწოდებლის ფორმა'!H25+'ფასი კლინიკებით'!$B$33+IF(N('მომწოდებლის ფორმა'!$Q25)=0,0,30/'მომწოდებლის ფორმა'!$Q25*'ფასი კლინიკებით'!$B$34))/'მომწოდებლის ფორმა'!$M25,30/'მომწოდებლის ფორმა'!$P25),1))</f>
        <v>0</v>
      </c>
      <c r="I27" s="43">
        <f>IF(OR(N('მომწოდებლის ფორმა'!I25)&lt;=0,N('მომწოდებლის ფორმა'!$M25)=0,N('მომწოდებლის ფორმა'!$P25)=0),0,CEILING(MAX(('მომწოდებლის ფორმა'!I25+'ფასი კლინიკებით'!$B$33+IF(N('მომწოდებლის ფორმა'!$Q25)=0,0,30/'მომწოდებლის ფორმა'!$Q25*'ფასი კლინიკებით'!$B$34))/'მომწოდებლის ფორმა'!$M25,30/'მომწოდებლის ფორმა'!$P25),1))</f>
        <v>0</v>
      </c>
      <c r="J27" s="43">
        <f t="shared" si="0"/>
        <v>0</v>
      </c>
      <c r="K27" s="44">
        <f>IF(N('მომწოდებლის ფორმა'!$K25)=0,0,CEILING(J27/'მომწოდებლის ფორმა'!$K25,1))</f>
        <v>0</v>
      </c>
      <c r="L27" s="45">
        <f>N('მომწოდებლის ფორმა'!$N25)*N('მომწოდებლის ფორმა'!$AB25)</f>
        <v>0</v>
      </c>
      <c r="M27" s="45">
        <f t="shared" si="1"/>
        <v>0</v>
      </c>
      <c r="N27" s="45">
        <f>M27*'ფასი კლინიკებით'!$B$32</f>
        <v>0</v>
      </c>
    </row>
    <row r="28" spans="1:14" x14ac:dyDescent="0.3">
      <c r="A28" s="42" t="str">
        <f>'მომწოდებლის ფორმა'!A26</f>
        <v>რევმატოიდული ფაქტორი RF</v>
      </c>
      <c r="B28" s="43">
        <f>IF(OR(N('მომწოდებლის ფორმა'!B26)&lt;=0,N('მომწოდებლის ფორმა'!$M26)=0,N('მომწოდებლის ფორმა'!$P26)=0),0,CEILING(MAX(('მომწოდებლის ფორმა'!B26+'ფასი კლინიკებით'!$B$33+IF(N('მომწოდებლის ფორმა'!$Q26)=0,0,30/'მომწოდებლის ფორმა'!$Q26*'ფასი კლინიკებით'!$B$34))/'მომწოდებლის ფორმა'!$M26,30/'მომწოდებლის ფორმა'!$P26),1))</f>
        <v>0</v>
      </c>
      <c r="C28" s="43">
        <f>IF(OR(N('მომწოდებლის ფორმა'!C26)&lt;=0,N('მომწოდებლის ფორმა'!$M26)=0,N('მომწოდებლის ფორმა'!$P26)=0),0,CEILING(MAX(('მომწოდებლის ფორმა'!C26+'ფასი კლინიკებით'!$B$33+IF(N('მომწოდებლის ფორმა'!$Q26)=0,0,30/'მომწოდებლის ფორმა'!$Q26*'ფასი კლინიკებით'!$B$34))/'მომწოდებლის ფორმა'!$M26,30/'მომწოდებლის ფორმა'!$P26),1))</f>
        <v>0</v>
      </c>
      <c r="D28" s="43">
        <f>IF(OR(N('მომწოდებლის ფორმა'!D26)&lt;=0,N('მომწოდებლის ფორმა'!$M26)=0,N('მომწოდებლის ფორმა'!$P26)=0),0,CEILING(MAX(('მომწოდებლის ფორმა'!D26+'ფასი კლინიკებით'!$B$33+IF(N('მომწოდებლის ფორმა'!$Q26)=0,0,30/'მომწოდებლის ფორმა'!$Q26*'ფასი კლინიკებით'!$B$34))/'მომწოდებლის ფორმა'!$M26,30/'მომწოდებლის ფორმა'!$P26),1))</f>
        <v>0</v>
      </c>
      <c r="E28" s="43">
        <f>IF(OR(N('მომწოდებლის ფორმა'!E26)&lt;=0,N('მომწოდებლის ფორმა'!$M26)=0,N('მომწოდებლის ფორმა'!$P26)=0),0,CEILING(MAX(('მომწოდებლის ფორმა'!E26+'ფასი კლინიკებით'!$B$33+IF(N('მომწოდებლის ფორმა'!$Q26)=0,0,30/'მომწოდებლის ფორმა'!$Q26*'ფასი კლინიკებით'!$B$34))/'მომწოდებლის ფორმა'!$M26,30/'მომწოდებლის ფორმა'!$P26),1))</f>
        <v>0</v>
      </c>
      <c r="F28" s="43">
        <f>IF(OR(N('მომწოდებლის ფორმა'!F26)&lt;=0,N('მომწოდებლის ფორმა'!$M26)=0,N('მომწოდებლის ფორმა'!$P26)=0),0,CEILING(MAX(('მომწოდებლის ფორმა'!F26+'ფასი კლინიკებით'!$B$33+IF(N('მომწოდებლის ფორმა'!$Q26)=0,0,30/'მომწოდებლის ფორმა'!$Q26*'ფასი კლინიკებით'!$B$34))/'მომწოდებლის ფორმა'!$M26,30/'მომწოდებლის ფორმა'!$P26),1))</f>
        <v>0</v>
      </c>
      <c r="G28" s="43">
        <f>IF(OR(N('მომწოდებლის ფორმა'!G26)&lt;=0,N('მომწოდებლის ფორმა'!$M26)=0,N('მომწოდებლის ფორმა'!$P26)=0),0,CEILING(MAX(('მომწოდებლის ფორმა'!G26+'ფასი კლინიკებით'!$B$33+IF(N('მომწოდებლის ფორმა'!$Q26)=0,0,30/'მომწოდებლის ფორმა'!$Q26*'ფასი კლინიკებით'!$B$34))/'მომწოდებლის ფორმა'!$M26,30/'მომწოდებლის ფორმა'!$P26),1))</f>
        <v>0</v>
      </c>
      <c r="H28" s="43">
        <f>IF(OR(N('მომწოდებლის ფორმა'!H26)&lt;=0,N('მომწოდებლის ფორმა'!$M26)=0,N('მომწოდებლის ფორმა'!$P26)=0),0,CEILING(MAX(('მომწოდებლის ფორმა'!H26+'ფასი კლინიკებით'!$B$33+IF(N('მომწოდებლის ფორმა'!$Q26)=0,0,30/'მომწოდებლის ფორმა'!$Q26*'ფასი კლინიკებით'!$B$34))/'მომწოდებლის ფორმა'!$M26,30/'მომწოდებლის ფორმა'!$P26),1))</f>
        <v>0</v>
      </c>
      <c r="I28" s="43">
        <f>IF(OR(N('მომწოდებლის ფორმა'!I26)&lt;=0,N('მომწოდებლის ფორმა'!$M26)=0,N('მომწოდებლის ფორმა'!$P26)=0),0,CEILING(MAX(('მომწოდებლის ფორმა'!I26+'ფასი კლინიკებით'!$B$33+IF(N('მომწოდებლის ფორმა'!$Q26)=0,0,30/'მომწოდებლის ფორმა'!$Q26*'ფასი კლინიკებით'!$B$34))/'მომწოდებლის ფორმა'!$M26,30/'მომწოდებლის ფორმა'!$P26),1))</f>
        <v>0</v>
      </c>
      <c r="J28" s="43">
        <f t="shared" si="0"/>
        <v>0</v>
      </c>
      <c r="K28" s="44">
        <f>IF(N('მომწოდებლის ფორმა'!$K26)=0,0,CEILING(J28/'მომწოდებლის ფორმა'!$K26,1))</f>
        <v>0</v>
      </c>
      <c r="L28" s="45">
        <f>N('მომწოდებლის ფორმა'!$N26)*N('მომწოდებლის ფორმა'!$AB26)</f>
        <v>0</v>
      </c>
      <c r="M28" s="45">
        <f t="shared" si="1"/>
        <v>0</v>
      </c>
      <c r="N28" s="45">
        <f>M28*'ფასი კლინიკებით'!$B$32</f>
        <v>0</v>
      </c>
    </row>
    <row r="29" spans="1:14" x14ac:dyDescent="0.3">
      <c r="A29" s="42" t="str">
        <f>'მომწოდებლის ფორმა'!A27</f>
        <v>ანტისტრეპტოლიზინი - O  ASLO</v>
      </c>
      <c r="B29" s="43">
        <f>IF(OR(N('მომწოდებლის ფორმა'!B27)&lt;=0,N('მომწოდებლის ფორმა'!$M27)=0,N('მომწოდებლის ფორმა'!$P27)=0),0,CEILING(MAX(('მომწოდებლის ფორმა'!B27+'ფასი კლინიკებით'!$B$33+IF(N('მომწოდებლის ფორმა'!$Q27)=0,0,30/'მომწოდებლის ფორმა'!$Q27*'ფასი კლინიკებით'!$B$34))/'მომწოდებლის ფორმა'!$M27,30/'მომწოდებლის ფორმა'!$P27),1))</f>
        <v>0</v>
      </c>
      <c r="C29" s="43">
        <f>IF(OR(N('მომწოდებლის ფორმა'!C27)&lt;=0,N('მომწოდებლის ფორმა'!$M27)=0,N('მომწოდებლის ფორმა'!$P27)=0),0,CEILING(MAX(('მომწოდებლის ფორმა'!C27+'ფასი კლინიკებით'!$B$33+IF(N('მომწოდებლის ფორმა'!$Q27)=0,0,30/'მომწოდებლის ფორმა'!$Q27*'ფასი კლინიკებით'!$B$34))/'მომწოდებლის ფორმა'!$M27,30/'მომწოდებლის ფორმა'!$P27),1))</f>
        <v>0</v>
      </c>
      <c r="D29" s="43">
        <f>IF(OR(N('მომწოდებლის ფორმა'!D27)&lt;=0,N('მომწოდებლის ფორმა'!$M27)=0,N('მომწოდებლის ფორმა'!$P27)=0),0,CEILING(MAX(('მომწოდებლის ფორმა'!D27+'ფასი კლინიკებით'!$B$33+IF(N('მომწოდებლის ფორმა'!$Q27)=0,0,30/'მომწოდებლის ფორმა'!$Q27*'ფასი კლინიკებით'!$B$34))/'მომწოდებლის ფორმა'!$M27,30/'მომწოდებლის ფორმა'!$P27),1))</f>
        <v>0</v>
      </c>
      <c r="E29" s="43">
        <f>IF(OR(N('მომწოდებლის ფორმა'!E27)&lt;=0,N('მომწოდებლის ფორმა'!$M27)=0,N('მომწოდებლის ფორმა'!$P27)=0),0,CEILING(MAX(('მომწოდებლის ფორმა'!E27+'ფასი კლინიკებით'!$B$33+IF(N('მომწოდებლის ფორმა'!$Q27)=0,0,30/'მომწოდებლის ფორმა'!$Q27*'ფასი კლინიკებით'!$B$34))/'მომწოდებლის ფორმა'!$M27,30/'მომწოდებლის ფორმა'!$P27),1))</f>
        <v>0</v>
      </c>
      <c r="F29" s="43">
        <f>IF(OR(N('მომწოდებლის ფორმა'!F27)&lt;=0,N('მომწოდებლის ფორმა'!$M27)=0,N('მომწოდებლის ფორმა'!$P27)=0),0,CEILING(MAX(('მომწოდებლის ფორმა'!F27+'ფასი კლინიკებით'!$B$33+IF(N('მომწოდებლის ფორმა'!$Q27)=0,0,30/'მომწოდებლის ფორმა'!$Q27*'ფასი კლინიკებით'!$B$34))/'მომწოდებლის ფორმა'!$M27,30/'მომწოდებლის ფორმა'!$P27),1))</f>
        <v>0</v>
      </c>
      <c r="G29" s="43">
        <f>IF(OR(N('მომწოდებლის ფორმა'!G27)&lt;=0,N('მომწოდებლის ფორმა'!$M27)=0,N('მომწოდებლის ფორმა'!$P27)=0),0,CEILING(MAX(('მომწოდებლის ფორმა'!G27+'ფასი კლინიკებით'!$B$33+IF(N('მომწოდებლის ფორმა'!$Q27)=0,0,30/'მომწოდებლის ფორმა'!$Q27*'ფასი კლინიკებით'!$B$34))/'მომწოდებლის ფორმა'!$M27,30/'მომწოდებლის ფორმა'!$P27),1))</f>
        <v>0</v>
      </c>
      <c r="H29" s="43">
        <f>IF(OR(N('მომწოდებლის ფორმა'!H27)&lt;=0,N('მომწოდებლის ფორმა'!$M27)=0,N('მომწოდებლის ფორმა'!$P27)=0),0,CEILING(MAX(('მომწოდებლის ფორმა'!H27+'ფასი კლინიკებით'!$B$33+IF(N('მომწოდებლის ფორმა'!$Q27)=0,0,30/'მომწოდებლის ფორმა'!$Q27*'ფასი კლინიკებით'!$B$34))/'მომწოდებლის ფორმა'!$M27,30/'მომწოდებლის ფორმა'!$P27),1))</f>
        <v>0</v>
      </c>
      <c r="I29" s="43">
        <f>IF(OR(N('მომწოდებლის ფორმა'!I27)&lt;=0,N('მომწოდებლის ფორმა'!$M27)=0,N('მომწოდებლის ფორმა'!$P27)=0),0,CEILING(MAX(('მომწოდებლის ფორმა'!I27+'ფასი კლინიკებით'!$B$33+IF(N('მომწოდებლის ფორმა'!$Q27)=0,0,30/'მომწოდებლის ფორმა'!$Q27*'ფასი კლინიკებით'!$B$34))/'მომწოდებლის ფორმა'!$M27,30/'მომწოდებლის ფორმა'!$P27),1))</f>
        <v>0</v>
      </c>
      <c r="J29" s="43">
        <f t="shared" si="0"/>
        <v>0</v>
      </c>
      <c r="K29" s="44">
        <f>IF(N('მომწოდებლის ფორმა'!$K27)=0,0,CEILING(J29/'მომწოდებლის ფორმა'!$K27,1))</f>
        <v>0</v>
      </c>
      <c r="L29" s="45">
        <f>N('მომწოდებლის ფორმა'!$N27)*N('მომწოდებლის ფორმა'!$AB27)</f>
        <v>0</v>
      </c>
      <c r="M29" s="45">
        <f t="shared" si="1"/>
        <v>0</v>
      </c>
      <c r="N29" s="45">
        <f>M29*'ფასი კლინიკებით'!$B$32</f>
        <v>0</v>
      </c>
    </row>
    <row r="31" spans="1:14" x14ac:dyDescent="0.3">
      <c r="A31" s="39" t="s">
        <v>123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</row>
    <row r="32" spans="1:14" ht="45" customHeight="1" x14ac:dyDescent="0.3">
      <c r="A32" s="41" t="s">
        <v>117</v>
      </c>
      <c r="B32" s="41" t="str">
        <f>'მომწოდებლის ფორმა'!B2</f>
        <v>ACH</v>
      </c>
      <c r="C32" s="41" t="str">
        <f>'მომწოდებლის ფორმა'!C2</f>
        <v>TLH</v>
      </c>
      <c r="D32" s="41" t="str">
        <f>'მომწოდებლის ფორმა'!D2</f>
        <v>XRH</v>
      </c>
      <c r="E32" s="41" t="str">
        <f>'მომწოდებლის ფორმა'!E2</f>
        <v>ZURH</v>
      </c>
      <c r="F32" s="41" t="str">
        <f>'მომწოდებლის ფორმა'!F2</f>
        <v>GRH</v>
      </c>
      <c r="G32" s="41" t="str">
        <f>'მომწოდებლის ფორმა'!G2</f>
        <v xml:space="preserve">KRH </v>
      </c>
      <c r="H32" s="41" t="str">
        <f>'მომწოდებლის ფორმა'!H2</f>
        <v>TCH</v>
      </c>
      <c r="I32" s="41" t="str">
        <f>'მომწოდებლის ფორმა'!I2</f>
        <v>QBH</v>
      </c>
      <c r="J32" s="41" t="s">
        <v>124</v>
      </c>
      <c r="K32" s="41" t="s">
        <v>119</v>
      </c>
      <c r="L32" s="41" t="s">
        <v>120</v>
      </c>
      <c r="M32" s="41" t="s">
        <v>121</v>
      </c>
      <c r="N32" s="41" t="s">
        <v>122</v>
      </c>
    </row>
    <row r="33" spans="1:14" x14ac:dyDescent="0.3">
      <c r="A33" s="42" t="str">
        <f>'მომწოდებლის ფორმა'!A4</f>
        <v>ლიპაზის განსაზღვრა  - Lipase</v>
      </c>
      <c r="B33" s="46">
        <f>IF(OR('მომწოდებლის ფორმა'!$R4="",N('მომწოდებლის ფორმა'!$T4)=0,COUNTIF('მომწოდებლის ფორმა'!$R$4:$R4,'მომწოდებლის ფორმა'!$R4)&gt;1,SUMIF('მომწოდებლის ფორმა'!$R$4:$R$27,'მომწოდებლის ფორმა'!$R4,'მომწოდებლის ფორმა'!B$4:B$27)&lt;=0),0,30/'მომწოდებლის ფორმა'!$T4)</f>
        <v>0</v>
      </c>
      <c r="C33" s="46">
        <f>IF(OR('მომწოდებლის ფორმა'!$R4="",N('მომწოდებლის ფორმა'!$T4)=0,COUNTIF('მომწოდებლის ფორმა'!$R$4:$R4,'მომწოდებლის ფორმა'!$R4)&gt;1,SUMIF('მომწოდებლის ფორმა'!$R$4:$R$27,'მომწოდებლის ფორმა'!$R4,'მომწოდებლის ფორმა'!C$4:C$27)&lt;=0),0,30/'მომწოდებლის ფორმა'!$T4)</f>
        <v>0</v>
      </c>
      <c r="D33" s="46">
        <f>IF(OR('მომწოდებლის ფორმა'!$R4="",N('მომწოდებლის ფორმა'!$T4)=0,COUNTIF('მომწოდებლის ფორმა'!$R$4:$R4,'მომწოდებლის ფორმა'!$R4)&gt;1,SUMIF('მომწოდებლის ფორმა'!$R$4:$R$27,'მომწოდებლის ფორმა'!$R4,'მომწოდებლის ფორმა'!D$4:D$27)&lt;=0),0,30/'მომწოდებლის ფორმა'!$T4)</f>
        <v>0</v>
      </c>
      <c r="E33" s="46">
        <f>IF(OR('მომწოდებლის ფორმა'!$R4="",N('მომწოდებლის ფორმა'!$T4)=0,COUNTIF('მომწოდებლის ფორმა'!$R$4:$R4,'მომწოდებლის ფორმა'!$R4)&gt;1,SUMIF('მომწოდებლის ფორმა'!$R$4:$R$27,'მომწოდებლის ფორმა'!$R4,'მომწოდებლის ფორმა'!E$4:E$27)&lt;=0),0,30/'მომწოდებლის ფორმა'!$T4)</f>
        <v>0</v>
      </c>
      <c r="F33" s="46">
        <f>IF(OR('მომწოდებლის ფორმა'!$R4="",N('მომწოდებლის ფორმა'!$T4)=0,COUNTIF('მომწოდებლის ფორმა'!$R$4:$R4,'მომწოდებლის ფორმა'!$R4)&gt;1,SUMIF('მომწოდებლის ფორმა'!$R$4:$R$27,'მომწოდებლის ფორმა'!$R4,'მომწოდებლის ფორმა'!F$4:F$27)&lt;=0),0,30/'მომწოდებლის ფორმა'!$T4)</f>
        <v>0</v>
      </c>
      <c r="G33" s="46">
        <f>IF(OR('მომწოდებლის ფორმა'!$R4="",N('მომწოდებლის ფორმა'!$T4)=0,COUNTIF('მომწოდებლის ფორმა'!$R$4:$R4,'მომწოდებლის ფორმა'!$R4)&gt;1,SUMIF('მომწოდებლის ფორმა'!$R$4:$R$27,'მომწოდებლის ფორმა'!$R4,'მომწოდებლის ფორმა'!G$4:G$27)&lt;=0),0,30/'მომწოდებლის ფორმა'!$T4)</f>
        <v>0</v>
      </c>
      <c r="H33" s="46">
        <f>IF(OR('მომწოდებლის ფორმა'!$R4="",N('მომწოდებლის ფორმა'!$T4)=0,COUNTIF('მომწოდებლის ფორმა'!$R$4:$R4,'მომწოდებლის ფორმა'!$R4)&gt;1,SUMIF('მომწოდებლის ფორმა'!$R$4:$R$27,'მომწოდებლის ფორმა'!$R4,'მომწოდებლის ფორმა'!H$4:H$27)&lt;=0),0,30/'მომწოდებლის ფორმა'!$T4)</f>
        <v>0</v>
      </c>
      <c r="I33" s="46">
        <f>IF(OR('მომწოდებლის ფორმა'!$R4="",N('მომწოდებლის ფორმა'!$T4)=0,COUNTIF('მომწოდებლის ფორმა'!$R$4:$R4,'მომწოდებლის ფორმა'!$R4)&gt;1,SUMIF('მომწოდებლის ფორმა'!$R$4:$R$27,'მომწოდებლის ფორმა'!$R4,'მომწოდებლის ფორმა'!I$4:I$27)&lt;=0),0,30/'მომწოდებლის ფორმა'!$T4)</f>
        <v>0</v>
      </c>
      <c r="J33" s="46">
        <f t="shared" ref="J33:J56" si="2">SUM(B33:I33)</f>
        <v>0</v>
      </c>
      <c r="K33" s="44">
        <f t="shared" ref="K33:K56" si="3">CEILING(J33,1)</f>
        <v>0</v>
      </c>
      <c r="L33" s="45">
        <f>N('მომწოდებლის ფორმა'!$S4)*N('მომწოდებლის ფორმა'!$AB4)</f>
        <v>0</v>
      </c>
      <c r="M33" s="45">
        <f t="shared" ref="M33:M56" si="4">K33*L33</f>
        <v>0</v>
      </c>
      <c r="N33" s="45">
        <f>M33*'ფასი კლინიკებით'!$B$32</f>
        <v>0</v>
      </c>
    </row>
    <row r="34" spans="1:14" x14ac:dyDescent="0.3">
      <c r="A34" s="42" t="str">
        <f>'მომწოდებლის ფორმა'!A5</f>
        <v>გლუკოზა GLU G1</v>
      </c>
      <c r="B34" s="46">
        <f>IF(OR('მომწოდებლის ფორმა'!$R5="",N('მომწოდებლის ფორმა'!$T5)=0,COUNTIF('მომწოდებლის ფორმა'!$R$4:$R5,'მომწოდებლის ფორმა'!$R5)&gt;1,SUMIF('მომწოდებლის ფორმა'!$R$4:$R$27,'მომწოდებლის ფორმა'!$R5,'მომწოდებლის ფორმა'!B$4:B$27)&lt;=0),0,30/'მომწოდებლის ფორმა'!$T5)</f>
        <v>0</v>
      </c>
      <c r="C34" s="46">
        <f>IF(OR('მომწოდებლის ფორმა'!$R5="",N('მომწოდებლის ფორმა'!$T5)=0,COUNTIF('მომწოდებლის ფორმა'!$R$4:$R5,'მომწოდებლის ფორმა'!$R5)&gt;1,SUMIF('მომწოდებლის ფორმა'!$R$4:$R$27,'მომწოდებლის ფორმა'!$R5,'მომწოდებლის ფორმა'!C$4:C$27)&lt;=0),0,30/'მომწოდებლის ფორმა'!$T5)</f>
        <v>0</v>
      </c>
      <c r="D34" s="46">
        <f>IF(OR('მომწოდებლის ფორმა'!$R5="",N('მომწოდებლის ფორმა'!$T5)=0,COUNTIF('მომწოდებლის ფორმა'!$R$4:$R5,'მომწოდებლის ფორმა'!$R5)&gt;1,SUMIF('მომწოდებლის ფორმა'!$R$4:$R$27,'მომწოდებლის ფორმა'!$R5,'მომწოდებლის ფორმა'!D$4:D$27)&lt;=0),0,30/'მომწოდებლის ფორმა'!$T5)</f>
        <v>0</v>
      </c>
      <c r="E34" s="46">
        <f>IF(OR('მომწოდებლის ფორმა'!$R5="",N('მომწოდებლის ფორმა'!$T5)=0,COUNTIF('მომწოდებლის ფორმა'!$R$4:$R5,'მომწოდებლის ფორმა'!$R5)&gt;1,SUMIF('მომწოდებლის ფორმა'!$R$4:$R$27,'მომწოდებლის ფორმა'!$R5,'მომწოდებლის ფორმა'!E$4:E$27)&lt;=0),0,30/'მომწოდებლის ფორმა'!$T5)</f>
        <v>0</v>
      </c>
      <c r="F34" s="46">
        <f>IF(OR('მომწოდებლის ფორმა'!$R5="",N('მომწოდებლის ფორმა'!$T5)=0,COUNTIF('მომწოდებლის ფორმა'!$R$4:$R5,'მომწოდებლის ფორმა'!$R5)&gt;1,SUMIF('მომწოდებლის ფორმა'!$R$4:$R$27,'მომწოდებლის ფორმა'!$R5,'მომწოდებლის ფორმა'!F$4:F$27)&lt;=0),0,30/'მომწოდებლის ფორმა'!$T5)</f>
        <v>0</v>
      </c>
      <c r="G34" s="46">
        <f>IF(OR('მომწოდებლის ფორმა'!$R5="",N('მომწოდებლის ფორმა'!$T5)=0,COUNTIF('მომწოდებლის ფორმა'!$R$4:$R5,'მომწოდებლის ფორმა'!$R5)&gt;1,SUMIF('მომწოდებლის ფორმა'!$R$4:$R$27,'მომწოდებლის ფორმა'!$R5,'მომწოდებლის ფორმა'!G$4:G$27)&lt;=0),0,30/'მომწოდებლის ფორმა'!$T5)</f>
        <v>0</v>
      </c>
      <c r="H34" s="46">
        <f>IF(OR('მომწოდებლის ფორმა'!$R5="",N('მომწოდებლის ფორმა'!$T5)=0,COUNTIF('მომწოდებლის ფორმა'!$R$4:$R5,'მომწოდებლის ფორმა'!$R5)&gt;1,SUMIF('მომწოდებლის ფორმა'!$R$4:$R$27,'მომწოდებლის ფორმა'!$R5,'მომწოდებლის ფორმა'!H$4:H$27)&lt;=0),0,30/'მომწოდებლის ფორმა'!$T5)</f>
        <v>0</v>
      </c>
      <c r="I34" s="46">
        <f>IF(OR('მომწოდებლის ფორმა'!$R5="",N('მომწოდებლის ფორმა'!$T5)=0,COUNTIF('მომწოდებლის ფორმა'!$R$4:$R5,'მომწოდებლის ფორმა'!$R5)&gt;1,SUMIF('მომწოდებლის ფორმა'!$R$4:$R$27,'მომწოდებლის ფორმა'!$R5,'მომწოდებლის ფორმა'!I$4:I$27)&lt;=0),0,30/'მომწოდებლის ფორმა'!$T5)</f>
        <v>0</v>
      </c>
      <c r="J34" s="46">
        <f t="shared" si="2"/>
        <v>0</v>
      </c>
      <c r="K34" s="44">
        <f t="shared" si="3"/>
        <v>0</v>
      </c>
      <c r="L34" s="45">
        <f>N('მომწოდებლის ფორმა'!$S5)*N('მომწოდებლის ფორმა'!$AB5)</f>
        <v>0</v>
      </c>
      <c r="M34" s="45">
        <f t="shared" si="4"/>
        <v>0</v>
      </c>
      <c r="N34" s="45">
        <f>M34*'ფასი კლინიკებით'!$B$32</f>
        <v>0</v>
      </c>
    </row>
    <row r="35" spans="1:14" x14ac:dyDescent="0.3">
      <c r="A35" s="42" t="str">
        <f>'მომწოდებლის ფორმა'!A6</f>
        <v>ალანინ ამინოტრანსფერაზა ALT G1</v>
      </c>
      <c r="B35" s="46">
        <f>IF(OR('მომწოდებლის ფორმა'!$R6="",N('მომწოდებლის ფორმა'!$T6)=0,COUNTIF('მომწოდებლის ფორმა'!$R$4:$R6,'მომწოდებლის ფორმა'!$R6)&gt;1,SUMIF('მომწოდებლის ფორმა'!$R$4:$R$27,'მომწოდებლის ფორმა'!$R6,'მომწოდებლის ფორმა'!B$4:B$27)&lt;=0),0,30/'მომწოდებლის ფორმა'!$T6)</f>
        <v>0</v>
      </c>
      <c r="C35" s="46">
        <f>IF(OR('მომწოდებლის ფორმა'!$R6="",N('მომწოდებლის ფორმა'!$T6)=0,COUNTIF('მომწოდებლის ფორმა'!$R$4:$R6,'მომწოდებლის ფორმა'!$R6)&gt;1,SUMIF('მომწოდებლის ფორმა'!$R$4:$R$27,'მომწოდებლის ფორმა'!$R6,'მომწოდებლის ფორმა'!C$4:C$27)&lt;=0),0,30/'მომწოდებლის ფორმა'!$T6)</f>
        <v>0</v>
      </c>
      <c r="D35" s="46">
        <f>IF(OR('მომწოდებლის ფორმა'!$R6="",N('მომწოდებლის ფორმა'!$T6)=0,COUNTIF('მომწოდებლის ფორმა'!$R$4:$R6,'მომწოდებლის ფორმა'!$R6)&gt;1,SUMIF('მომწოდებლის ფორმა'!$R$4:$R$27,'მომწოდებლის ფორმა'!$R6,'მომწოდებლის ფორმა'!D$4:D$27)&lt;=0),0,30/'მომწოდებლის ფორმა'!$T6)</f>
        <v>0</v>
      </c>
      <c r="E35" s="46">
        <f>IF(OR('მომწოდებლის ფორმა'!$R6="",N('მომწოდებლის ფორმა'!$T6)=0,COUNTIF('მომწოდებლის ფორმა'!$R$4:$R6,'მომწოდებლის ფორმა'!$R6)&gt;1,SUMIF('მომწოდებლის ფორმა'!$R$4:$R$27,'მომწოდებლის ფორმა'!$R6,'მომწოდებლის ფორმა'!E$4:E$27)&lt;=0),0,30/'მომწოდებლის ფორმა'!$T6)</f>
        <v>0</v>
      </c>
      <c r="F35" s="46">
        <f>IF(OR('მომწოდებლის ფორმა'!$R6="",N('მომწოდებლის ფორმა'!$T6)=0,COUNTIF('მომწოდებლის ფორმა'!$R$4:$R6,'მომწოდებლის ფორმა'!$R6)&gt;1,SUMIF('მომწოდებლის ფორმა'!$R$4:$R$27,'მომწოდებლის ფორმა'!$R6,'მომწოდებლის ფორმა'!F$4:F$27)&lt;=0),0,30/'მომწოდებლის ფორმა'!$T6)</f>
        <v>0</v>
      </c>
      <c r="G35" s="46">
        <f>IF(OR('მომწოდებლის ფორმა'!$R6="",N('მომწოდებლის ფორმა'!$T6)=0,COUNTIF('მომწოდებლის ფორმა'!$R$4:$R6,'მომწოდებლის ფორმა'!$R6)&gt;1,SUMIF('მომწოდებლის ფორმა'!$R$4:$R$27,'მომწოდებლის ფორმა'!$R6,'მომწოდებლის ფორმა'!G$4:G$27)&lt;=0),0,30/'მომწოდებლის ფორმა'!$T6)</f>
        <v>0</v>
      </c>
      <c r="H35" s="46">
        <f>IF(OR('მომწოდებლის ფორმა'!$R6="",N('მომწოდებლის ფორმა'!$T6)=0,COUNTIF('მომწოდებლის ფორმა'!$R$4:$R6,'მომწოდებლის ფორმა'!$R6)&gt;1,SUMIF('მომწოდებლის ფორმა'!$R$4:$R$27,'მომწოდებლის ფორმა'!$R6,'მომწოდებლის ფორმა'!H$4:H$27)&lt;=0),0,30/'მომწოდებლის ფორმა'!$T6)</f>
        <v>0</v>
      </c>
      <c r="I35" s="46">
        <f>IF(OR('მომწოდებლის ფორმა'!$R6="",N('მომწოდებლის ფორმა'!$T6)=0,COUNTIF('მომწოდებლის ფორმა'!$R$4:$R6,'მომწოდებლის ფორმა'!$R6)&gt;1,SUMIF('მომწოდებლის ფორმა'!$R$4:$R$27,'მომწოდებლის ფორმა'!$R6,'მომწოდებლის ფორმა'!I$4:I$27)&lt;=0),0,30/'მომწოდებლის ფორმა'!$T6)</f>
        <v>0</v>
      </c>
      <c r="J35" s="46">
        <f t="shared" si="2"/>
        <v>0</v>
      </c>
      <c r="K35" s="44">
        <f t="shared" si="3"/>
        <v>0</v>
      </c>
      <c r="L35" s="45">
        <f>N('მომწოდებლის ფორმა'!$S6)*N('მომწოდებლის ფორმა'!$AB6)</f>
        <v>0</v>
      </c>
      <c r="M35" s="45">
        <f t="shared" si="4"/>
        <v>0</v>
      </c>
      <c r="N35" s="45">
        <f>M35*'ფასი კლინიკებით'!$B$32</f>
        <v>0</v>
      </c>
    </row>
    <row r="36" spans="1:14" x14ac:dyDescent="0.3">
      <c r="A36" s="42" t="str">
        <f>'მომწოდებლის ფორმა'!A7</f>
        <v>ასპარტატ ამინოტრანსფერაზა AST G1</v>
      </c>
      <c r="B36" s="46">
        <f>IF(OR('მომწოდებლის ფორმა'!$R7="",N('მომწოდებლის ფორმა'!$T7)=0,COUNTIF('მომწოდებლის ფორმა'!$R$4:$R7,'მომწოდებლის ფორმა'!$R7)&gt;1,SUMIF('მომწოდებლის ფორმა'!$R$4:$R$27,'მომწოდებლის ფორმა'!$R7,'მომწოდებლის ფორმა'!B$4:B$27)&lt;=0),0,30/'მომწოდებლის ფორმა'!$T7)</f>
        <v>0</v>
      </c>
      <c r="C36" s="46">
        <f>IF(OR('მომწოდებლის ფორმა'!$R7="",N('მომწოდებლის ფორმა'!$T7)=0,COUNTIF('მომწოდებლის ფორმა'!$R$4:$R7,'მომწოდებლის ფორმა'!$R7)&gt;1,SUMIF('მომწოდებლის ფორმა'!$R$4:$R$27,'მომწოდებლის ფორმა'!$R7,'მომწოდებლის ფორმა'!C$4:C$27)&lt;=0),0,30/'მომწოდებლის ფორმა'!$T7)</f>
        <v>0</v>
      </c>
      <c r="D36" s="46">
        <f>IF(OR('მომწოდებლის ფორმა'!$R7="",N('მომწოდებლის ფორმა'!$T7)=0,COUNTIF('მომწოდებლის ფორმა'!$R$4:$R7,'მომწოდებლის ფორმა'!$R7)&gt;1,SUMIF('მომწოდებლის ფორმა'!$R$4:$R$27,'მომწოდებლის ფორმა'!$R7,'მომწოდებლის ფორმა'!D$4:D$27)&lt;=0),0,30/'მომწოდებლის ფორმა'!$T7)</f>
        <v>0</v>
      </c>
      <c r="E36" s="46">
        <f>IF(OR('მომწოდებლის ფორმა'!$R7="",N('მომწოდებლის ფორმა'!$T7)=0,COUNTIF('მომწოდებლის ფორმა'!$R$4:$R7,'მომწოდებლის ფორმა'!$R7)&gt;1,SUMIF('მომწოდებლის ფორმა'!$R$4:$R$27,'მომწოდებლის ფორმა'!$R7,'მომწოდებლის ფორმა'!E$4:E$27)&lt;=0),0,30/'მომწოდებლის ფორმა'!$T7)</f>
        <v>0</v>
      </c>
      <c r="F36" s="46">
        <f>IF(OR('მომწოდებლის ფორმა'!$R7="",N('მომწოდებლის ფორმა'!$T7)=0,COUNTIF('მომწოდებლის ფორმა'!$R$4:$R7,'მომწოდებლის ფორმა'!$R7)&gt;1,SUMIF('მომწოდებლის ფორმა'!$R$4:$R$27,'მომწოდებლის ფორმა'!$R7,'მომწოდებლის ფორმა'!F$4:F$27)&lt;=0),0,30/'მომწოდებლის ფორმა'!$T7)</f>
        <v>0</v>
      </c>
      <c r="G36" s="46">
        <f>IF(OR('მომწოდებლის ფორმა'!$R7="",N('მომწოდებლის ფორმა'!$T7)=0,COUNTIF('მომწოდებლის ფორმა'!$R$4:$R7,'მომწოდებლის ფორმა'!$R7)&gt;1,SUMIF('მომწოდებლის ფორმა'!$R$4:$R$27,'მომწოდებლის ფორმა'!$R7,'მომწოდებლის ფორმა'!G$4:G$27)&lt;=0),0,30/'მომწოდებლის ფორმა'!$T7)</f>
        <v>0</v>
      </c>
      <c r="H36" s="46">
        <f>IF(OR('მომწოდებლის ფორმა'!$R7="",N('მომწოდებლის ფორმა'!$T7)=0,COUNTIF('მომწოდებლის ფორმა'!$R$4:$R7,'მომწოდებლის ფორმა'!$R7)&gt;1,SUMIF('მომწოდებლის ფორმა'!$R$4:$R$27,'მომწოდებლის ფორმა'!$R7,'მომწოდებლის ფორმა'!H$4:H$27)&lt;=0),0,30/'მომწოდებლის ფორმა'!$T7)</f>
        <v>0</v>
      </c>
      <c r="I36" s="46">
        <f>IF(OR('მომწოდებლის ფორმა'!$R7="",N('მომწოდებლის ფორმა'!$T7)=0,COUNTIF('მომწოდებლის ფორმა'!$R$4:$R7,'მომწოდებლის ფორმა'!$R7)&gt;1,SUMIF('მომწოდებლის ფორმა'!$R$4:$R$27,'მომწოდებლის ფორმა'!$R7,'მომწოდებლის ფორმა'!I$4:I$27)&lt;=0),0,30/'მომწოდებლის ფორმა'!$T7)</f>
        <v>0</v>
      </c>
      <c r="J36" s="46">
        <f t="shared" si="2"/>
        <v>0</v>
      </c>
      <c r="K36" s="44">
        <f t="shared" si="3"/>
        <v>0</v>
      </c>
      <c r="L36" s="45">
        <f>N('მომწოდებლის ფორმა'!$S7)*N('მომწოდებლის ფორმა'!$AB7)</f>
        <v>0</v>
      </c>
      <c r="M36" s="45">
        <f t="shared" si="4"/>
        <v>0</v>
      </c>
      <c r="N36" s="45">
        <f>M36*'ფასი კლინიკებით'!$B$32</f>
        <v>0</v>
      </c>
    </row>
    <row r="37" spans="1:14" x14ac:dyDescent="0.3">
      <c r="A37" s="42" t="str">
        <f>'მომწოდებლის ფორმა'!A8</f>
        <v>ალკალინ ფოსფატაზა ALP G1</v>
      </c>
      <c r="B37" s="46">
        <f>IF(OR('მომწოდებლის ფორმა'!$R8="",N('მომწოდებლის ფორმა'!$T8)=0,COUNTIF('მომწოდებლის ფორმა'!$R$4:$R8,'მომწოდებლის ფორმა'!$R8)&gt;1,SUMIF('მომწოდებლის ფორმა'!$R$4:$R$27,'მომწოდებლის ფორმა'!$R8,'მომწოდებლის ფორმა'!B$4:B$27)&lt;=0),0,30/'მომწოდებლის ფორმა'!$T8)</f>
        <v>0</v>
      </c>
      <c r="C37" s="46">
        <f>IF(OR('მომწოდებლის ფორმა'!$R8="",N('მომწოდებლის ფორმა'!$T8)=0,COUNTIF('მომწოდებლის ფორმა'!$R$4:$R8,'მომწოდებლის ფორმა'!$R8)&gt;1,SUMIF('მომწოდებლის ფორმა'!$R$4:$R$27,'მომწოდებლის ფორმა'!$R8,'მომწოდებლის ფორმა'!C$4:C$27)&lt;=0),0,30/'მომწოდებლის ფორმა'!$T8)</f>
        <v>0</v>
      </c>
      <c r="D37" s="46">
        <f>IF(OR('მომწოდებლის ფორმა'!$R8="",N('მომწოდებლის ფორმა'!$T8)=0,COUNTIF('მომწოდებლის ფორმა'!$R$4:$R8,'მომწოდებლის ფორმა'!$R8)&gt;1,SUMIF('მომწოდებლის ფორმა'!$R$4:$R$27,'მომწოდებლის ფორმა'!$R8,'მომწოდებლის ფორმა'!D$4:D$27)&lt;=0),0,30/'მომწოდებლის ფორმა'!$T8)</f>
        <v>0</v>
      </c>
      <c r="E37" s="46">
        <f>IF(OR('მომწოდებლის ფორმა'!$R8="",N('მომწოდებლის ფორმა'!$T8)=0,COUNTIF('მომწოდებლის ფორმა'!$R$4:$R8,'მომწოდებლის ფორმა'!$R8)&gt;1,SUMIF('მომწოდებლის ფორმა'!$R$4:$R$27,'მომწოდებლის ფორმა'!$R8,'მომწოდებლის ფორმა'!E$4:E$27)&lt;=0),0,30/'მომწოდებლის ფორმა'!$T8)</f>
        <v>0</v>
      </c>
      <c r="F37" s="46">
        <f>IF(OR('მომწოდებლის ფორმა'!$R8="",N('მომწოდებლის ფორმა'!$T8)=0,COUNTIF('მომწოდებლის ფორმა'!$R$4:$R8,'მომწოდებლის ფორმა'!$R8)&gt;1,SUMIF('მომწოდებლის ფორმა'!$R$4:$R$27,'მომწოდებლის ფორმა'!$R8,'მომწოდებლის ფორმა'!F$4:F$27)&lt;=0),0,30/'მომწოდებლის ფორმა'!$T8)</f>
        <v>0</v>
      </c>
      <c r="G37" s="46">
        <f>IF(OR('მომწოდებლის ფორმა'!$R8="",N('მომწოდებლის ფორმა'!$T8)=0,COUNTIF('მომწოდებლის ფორმა'!$R$4:$R8,'მომწოდებლის ფორმა'!$R8)&gt;1,SUMIF('მომწოდებლის ფორმა'!$R$4:$R$27,'მომწოდებლის ფორმა'!$R8,'მომწოდებლის ფორმა'!G$4:G$27)&lt;=0),0,30/'მომწოდებლის ფორმა'!$T8)</f>
        <v>0</v>
      </c>
      <c r="H37" s="46">
        <f>IF(OR('მომწოდებლის ფორმა'!$R8="",N('მომწოდებლის ფორმა'!$T8)=0,COUNTIF('მომწოდებლის ფორმა'!$R$4:$R8,'მომწოდებლის ფორმა'!$R8)&gt;1,SUMIF('მომწოდებლის ფორმა'!$R$4:$R$27,'მომწოდებლის ფორმა'!$R8,'მომწოდებლის ფორმა'!H$4:H$27)&lt;=0),0,30/'მომწოდებლის ფორმა'!$T8)</f>
        <v>0</v>
      </c>
      <c r="I37" s="46">
        <f>IF(OR('მომწოდებლის ფორმა'!$R8="",N('მომწოდებლის ფორმა'!$T8)=0,COUNTIF('მომწოდებლის ფორმა'!$R$4:$R8,'მომწოდებლის ფორმა'!$R8)&gt;1,SUMIF('მომწოდებლის ფორმა'!$R$4:$R$27,'მომწოდებლის ფორმა'!$R8,'მომწოდებლის ფორმა'!I$4:I$27)&lt;=0),0,30/'მომწოდებლის ფორმა'!$T8)</f>
        <v>0</v>
      </c>
      <c r="J37" s="46">
        <f t="shared" si="2"/>
        <v>0</v>
      </c>
      <c r="K37" s="44">
        <f t="shared" si="3"/>
        <v>0</v>
      </c>
      <c r="L37" s="45">
        <f>N('მომწოდებლის ფორმა'!$S8)*N('მომწოდებლის ფორმა'!$AB8)</f>
        <v>0</v>
      </c>
      <c r="M37" s="45">
        <f t="shared" si="4"/>
        <v>0</v>
      </c>
      <c r="N37" s="45">
        <f>M37*'ფასი კლინიკებით'!$B$32</f>
        <v>0</v>
      </c>
    </row>
    <row r="38" spans="1:14" x14ac:dyDescent="0.3">
      <c r="A38" s="42" t="str">
        <f>'მომწოდებლის ფორმა'!A9</f>
        <v>y-გლუტამილ ტრანსფერაზა GGT G1</v>
      </c>
      <c r="B38" s="46">
        <f>IF(OR('მომწოდებლის ფორმა'!$R9="",N('მომწოდებლის ფორმა'!$T9)=0,COUNTIF('მომწოდებლის ფორმა'!$R$4:$R9,'მომწოდებლის ფორმა'!$R9)&gt;1,SUMIF('მომწოდებლის ფორმა'!$R$4:$R$27,'მომწოდებლის ფორმა'!$R9,'მომწოდებლის ფორმა'!B$4:B$27)&lt;=0),0,30/'მომწოდებლის ფორმა'!$T9)</f>
        <v>0</v>
      </c>
      <c r="C38" s="46">
        <f>IF(OR('მომწოდებლის ფორმა'!$R9="",N('მომწოდებლის ფორმა'!$T9)=0,COUNTIF('მომწოდებლის ფორმა'!$R$4:$R9,'მომწოდებლის ფორმა'!$R9)&gt;1,SUMIF('მომწოდებლის ფორმა'!$R$4:$R$27,'მომწოდებლის ფორმა'!$R9,'მომწოდებლის ფორმა'!C$4:C$27)&lt;=0),0,30/'მომწოდებლის ფორმა'!$T9)</f>
        <v>0</v>
      </c>
      <c r="D38" s="46">
        <f>IF(OR('მომწოდებლის ფორმა'!$R9="",N('მომწოდებლის ფორმა'!$T9)=0,COUNTIF('მომწოდებლის ფორმა'!$R$4:$R9,'მომწოდებლის ფორმა'!$R9)&gt;1,SUMIF('მომწოდებლის ფორმა'!$R$4:$R$27,'მომწოდებლის ფორმა'!$R9,'მომწოდებლის ფორმა'!D$4:D$27)&lt;=0),0,30/'მომწოდებლის ფორმა'!$T9)</f>
        <v>0</v>
      </c>
      <c r="E38" s="46">
        <f>IF(OR('მომწოდებლის ფორმა'!$R9="",N('მომწოდებლის ფორმა'!$T9)=0,COUNTIF('მომწოდებლის ფორმა'!$R$4:$R9,'მომწოდებლის ფორმა'!$R9)&gt;1,SUMIF('მომწოდებლის ფორმა'!$R$4:$R$27,'მომწოდებლის ფორმა'!$R9,'მომწოდებლის ფორმა'!E$4:E$27)&lt;=0),0,30/'მომწოდებლის ფორმა'!$T9)</f>
        <v>0</v>
      </c>
      <c r="F38" s="46">
        <f>IF(OR('მომწოდებლის ფორმა'!$R9="",N('მომწოდებლის ფორმა'!$T9)=0,COUNTIF('მომწოდებლის ფორმა'!$R$4:$R9,'მომწოდებლის ფორმა'!$R9)&gt;1,SUMIF('მომწოდებლის ფორმა'!$R$4:$R$27,'მომწოდებლის ფორმა'!$R9,'მომწოდებლის ფორმა'!F$4:F$27)&lt;=0),0,30/'მომწოდებლის ფორმა'!$T9)</f>
        <v>0</v>
      </c>
      <c r="G38" s="46">
        <f>IF(OR('მომწოდებლის ფორმა'!$R9="",N('მომწოდებლის ფორმა'!$T9)=0,COUNTIF('მომწოდებლის ფორმა'!$R$4:$R9,'მომწოდებლის ფორმა'!$R9)&gt;1,SUMIF('მომწოდებლის ფორმა'!$R$4:$R$27,'მომწოდებლის ფორმა'!$R9,'მომწოდებლის ფორმა'!G$4:G$27)&lt;=0),0,30/'მომწოდებლის ფორმა'!$T9)</f>
        <v>0</v>
      </c>
      <c r="H38" s="46">
        <f>IF(OR('მომწოდებლის ფორმა'!$R9="",N('მომწოდებლის ფორმა'!$T9)=0,COUNTIF('მომწოდებლის ფორმა'!$R$4:$R9,'მომწოდებლის ფორმა'!$R9)&gt;1,SUMIF('მომწოდებლის ფორმა'!$R$4:$R$27,'მომწოდებლის ფორმა'!$R9,'მომწოდებლის ფორმა'!H$4:H$27)&lt;=0),0,30/'მომწოდებლის ფორმა'!$T9)</f>
        <v>0</v>
      </c>
      <c r="I38" s="46">
        <f>IF(OR('მომწოდებლის ფორმა'!$R9="",N('მომწოდებლის ფორმა'!$T9)=0,COUNTIF('მომწოდებლის ფორმა'!$R$4:$R9,'მომწოდებლის ფორმა'!$R9)&gt;1,SUMIF('მომწოდებლის ფორმა'!$R$4:$R$27,'მომწოდებლის ფორმა'!$R9,'მომწოდებლის ფორმა'!I$4:I$27)&lt;=0),0,30/'მომწოდებლის ფორმა'!$T9)</f>
        <v>0</v>
      </c>
      <c r="J38" s="46">
        <f t="shared" si="2"/>
        <v>0</v>
      </c>
      <c r="K38" s="44">
        <f t="shared" si="3"/>
        <v>0</v>
      </c>
      <c r="L38" s="45">
        <f>N('მომწოდებლის ფორმა'!$S9)*N('მომწოდებლის ფორმა'!$AB9)</f>
        <v>0</v>
      </c>
      <c r="M38" s="45">
        <f t="shared" si="4"/>
        <v>0</v>
      </c>
      <c r="N38" s="45">
        <f>M38*'ფასი კლინიკებით'!$B$32</f>
        <v>0</v>
      </c>
    </row>
    <row r="39" spans="1:14" x14ac:dyDescent="0.3">
      <c r="A39" s="42" t="str">
        <f>'მომწოდებლის ფორმა'!A10</f>
        <v>სრული  ბილირუბინი TBIL  G1</v>
      </c>
      <c r="B39" s="46">
        <f>IF(OR('მომწოდებლის ფორმა'!$R10="",N('მომწოდებლის ფორმა'!$T10)=0,COUNTIF('მომწოდებლის ფორმა'!$R$4:$R10,'მომწოდებლის ფორმა'!$R10)&gt;1,SUMIF('მომწოდებლის ფორმა'!$R$4:$R$27,'მომწოდებლის ფორმა'!$R10,'მომწოდებლის ფორმა'!B$4:B$27)&lt;=0),0,30/'მომწოდებლის ფორმა'!$T10)</f>
        <v>0</v>
      </c>
      <c r="C39" s="46">
        <f>IF(OR('მომწოდებლის ფორმა'!$R10="",N('მომწოდებლის ფორმა'!$T10)=0,COUNTIF('მომწოდებლის ფორმა'!$R$4:$R10,'მომწოდებლის ფორმა'!$R10)&gt;1,SUMIF('მომწოდებლის ფორმა'!$R$4:$R$27,'მომწოდებლის ფორმა'!$R10,'მომწოდებლის ფორმა'!C$4:C$27)&lt;=0),0,30/'მომწოდებლის ფორმა'!$T10)</f>
        <v>0</v>
      </c>
      <c r="D39" s="46">
        <f>IF(OR('მომწოდებლის ფორმა'!$R10="",N('მომწოდებლის ფორმა'!$T10)=0,COUNTIF('მომწოდებლის ფორმა'!$R$4:$R10,'მომწოდებლის ფორმა'!$R10)&gt;1,SUMIF('მომწოდებლის ფორმა'!$R$4:$R$27,'მომწოდებლის ფორმა'!$R10,'მომწოდებლის ფორმა'!D$4:D$27)&lt;=0),0,30/'მომწოდებლის ფორმა'!$T10)</f>
        <v>0</v>
      </c>
      <c r="E39" s="46">
        <f>IF(OR('მომწოდებლის ფორმა'!$R10="",N('მომწოდებლის ფორმა'!$T10)=0,COUNTIF('მომწოდებლის ფორმა'!$R$4:$R10,'მომწოდებლის ფორმა'!$R10)&gt;1,SUMIF('მომწოდებლის ფორმა'!$R$4:$R$27,'მომწოდებლის ფორმა'!$R10,'მომწოდებლის ფორმა'!E$4:E$27)&lt;=0),0,30/'მომწოდებლის ფორმა'!$T10)</f>
        <v>0</v>
      </c>
      <c r="F39" s="46">
        <f>IF(OR('მომწოდებლის ფორმა'!$R10="",N('მომწოდებლის ფორმა'!$T10)=0,COUNTIF('მომწოდებლის ფორმა'!$R$4:$R10,'მომწოდებლის ფორმა'!$R10)&gt;1,SUMIF('მომწოდებლის ფორმა'!$R$4:$R$27,'მომწოდებლის ფორმა'!$R10,'მომწოდებლის ფორმა'!F$4:F$27)&lt;=0),0,30/'მომწოდებლის ფორმა'!$T10)</f>
        <v>0</v>
      </c>
      <c r="G39" s="46">
        <f>IF(OR('მომწოდებლის ფორმა'!$R10="",N('მომწოდებლის ფორმა'!$T10)=0,COUNTIF('მომწოდებლის ფორმა'!$R$4:$R10,'მომწოდებლის ფორმა'!$R10)&gt;1,SUMIF('მომწოდებლის ფორმა'!$R$4:$R$27,'მომწოდებლის ფორმა'!$R10,'მომწოდებლის ფორმა'!G$4:G$27)&lt;=0),0,30/'მომწოდებლის ფორმა'!$T10)</f>
        <v>0</v>
      </c>
      <c r="H39" s="46">
        <f>IF(OR('მომწოდებლის ფორმა'!$R10="",N('მომწოდებლის ფორმა'!$T10)=0,COUNTIF('მომწოდებლის ფორმა'!$R$4:$R10,'მომწოდებლის ფორმა'!$R10)&gt;1,SUMIF('მომწოდებლის ფორმა'!$R$4:$R$27,'მომწოდებლის ფორმა'!$R10,'მომწოდებლის ფორმა'!H$4:H$27)&lt;=0),0,30/'მომწოდებლის ფორმა'!$T10)</f>
        <v>0</v>
      </c>
      <c r="I39" s="46">
        <f>IF(OR('მომწოდებლის ფორმა'!$R10="",N('მომწოდებლის ფორმა'!$T10)=0,COUNTIF('მომწოდებლის ფორმა'!$R$4:$R10,'მომწოდებლის ფორმა'!$R10)&gt;1,SUMIF('მომწოდებლის ფორმა'!$R$4:$R$27,'მომწოდებლის ფორმა'!$R10,'მომწოდებლის ფორმა'!I$4:I$27)&lt;=0),0,30/'მომწოდებლის ფორმა'!$T10)</f>
        <v>0</v>
      </c>
      <c r="J39" s="46">
        <f t="shared" si="2"/>
        <v>0</v>
      </c>
      <c r="K39" s="44">
        <f t="shared" si="3"/>
        <v>0</v>
      </c>
      <c r="L39" s="45">
        <f>N('მომწოდებლის ფორმა'!$S10)*N('მომწოდებლის ფორმა'!$AB10)</f>
        <v>0</v>
      </c>
      <c r="M39" s="45">
        <f t="shared" si="4"/>
        <v>0</v>
      </c>
      <c r="N39" s="45">
        <f>M39*'ფასი კლინიკებით'!$B$32</f>
        <v>0</v>
      </c>
    </row>
    <row r="40" spans="1:14" x14ac:dyDescent="0.3">
      <c r="A40" s="42" t="str">
        <f>'მომწოდებლის ფორმა'!A11</f>
        <v>სრული პროტეინი TP G1</v>
      </c>
      <c r="B40" s="46">
        <f>IF(OR('მომწოდებლის ფორმა'!$R11="",N('მომწოდებლის ფორმა'!$T11)=0,COUNTIF('მომწოდებლის ფორმა'!$R$4:$R11,'მომწოდებლის ფორმა'!$R11)&gt;1,SUMIF('მომწოდებლის ფორმა'!$R$4:$R$27,'მომწოდებლის ფორმა'!$R11,'მომწოდებლის ფორმა'!B$4:B$27)&lt;=0),0,30/'მომწოდებლის ფორმა'!$T11)</f>
        <v>0</v>
      </c>
      <c r="C40" s="46">
        <f>IF(OR('მომწოდებლის ფორმა'!$R11="",N('მომწოდებლის ფორმა'!$T11)=0,COUNTIF('მომწოდებლის ფორმა'!$R$4:$R11,'მომწოდებლის ფორმა'!$R11)&gt;1,SUMIF('მომწოდებლის ფორმა'!$R$4:$R$27,'მომწოდებლის ფორმა'!$R11,'მომწოდებლის ფორმა'!C$4:C$27)&lt;=0),0,30/'მომწოდებლის ფორმა'!$T11)</f>
        <v>0</v>
      </c>
      <c r="D40" s="46">
        <f>IF(OR('მომწოდებლის ფორმა'!$R11="",N('მომწოდებლის ფორმა'!$T11)=0,COUNTIF('მომწოდებლის ფორმა'!$R$4:$R11,'მომწოდებლის ფორმა'!$R11)&gt;1,SUMIF('მომწოდებლის ფორმა'!$R$4:$R$27,'მომწოდებლის ფორმა'!$R11,'მომწოდებლის ფორმა'!D$4:D$27)&lt;=0),0,30/'მომწოდებლის ფორმა'!$T11)</f>
        <v>0</v>
      </c>
      <c r="E40" s="46">
        <f>IF(OR('მომწოდებლის ფორმა'!$R11="",N('მომწოდებლის ფორმა'!$T11)=0,COUNTIF('მომწოდებლის ფორმა'!$R$4:$R11,'მომწოდებლის ფორმა'!$R11)&gt;1,SUMIF('მომწოდებლის ფორმა'!$R$4:$R$27,'მომწოდებლის ფორმა'!$R11,'მომწოდებლის ფორმა'!E$4:E$27)&lt;=0),0,30/'მომწოდებლის ფორმა'!$T11)</f>
        <v>0</v>
      </c>
      <c r="F40" s="46">
        <f>IF(OR('მომწოდებლის ფორმა'!$R11="",N('მომწოდებლის ფორმა'!$T11)=0,COUNTIF('მომწოდებლის ფორმა'!$R$4:$R11,'მომწოდებლის ფორმა'!$R11)&gt;1,SUMIF('მომწოდებლის ფორმა'!$R$4:$R$27,'მომწოდებლის ფორმა'!$R11,'მომწოდებლის ფორმა'!F$4:F$27)&lt;=0),0,30/'მომწოდებლის ფორმა'!$T11)</f>
        <v>0</v>
      </c>
      <c r="G40" s="46">
        <f>IF(OR('მომწოდებლის ფორმა'!$R11="",N('მომწოდებლის ფორმა'!$T11)=0,COUNTIF('მომწოდებლის ფორმა'!$R$4:$R11,'მომწოდებლის ფორმა'!$R11)&gt;1,SUMIF('მომწოდებლის ფორმა'!$R$4:$R$27,'მომწოდებლის ფორმა'!$R11,'მომწოდებლის ფორმა'!G$4:G$27)&lt;=0),0,30/'მომწოდებლის ფორმა'!$T11)</f>
        <v>0</v>
      </c>
      <c r="H40" s="46">
        <f>IF(OR('მომწოდებლის ფორმა'!$R11="",N('მომწოდებლის ფორმა'!$T11)=0,COUNTIF('მომწოდებლის ფორმა'!$R$4:$R11,'მომწოდებლის ფორმა'!$R11)&gt;1,SUMIF('მომწოდებლის ფორმა'!$R$4:$R$27,'მომწოდებლის ფორმა'!$R11,'მომწოდებლის ფორმა'!H$4:H$27)&lt;=0),0,30/'მომწოდებლის ფორმა'!$T11)</f>
        <v>0</v>
      </c>
      <c r="I40" s="46">
        <f>IF(OR('მომწოდებლის ფორმა'!$R11="",N('მომწოდებლის ფორმა'!$T11)=0,COUNTIF('მომწოდებლის ფორმა'!$R$4:$R11,'მომწოდებლის ფორმა'!$R11)&gt;1,SUMIF('მომწოდებლის ფორმა'!$R$4:$R$27,'მომწოდებლის ფორმა'!$R11,'მომწოდებლის ფორმა'!I$4:I$27)&lt;=0),0,30/'მომწოდებლის ფორმა'!$T11)</f>
        <v>0</v>
      </c>
      <c r="J40" s="46">
        <f t="shared" si="2"/>
        <v>0</v>
      </c>
      <c r="K40" s="44">
        <f t="shared" si="3"/>
        <v>0</v>
      </c>
      <c r="L40" s="45">
        <f>N('მომწოდებლის ფორმა'!$S11)*N('მომწოდებლის ფორმა'!$AB11)</f>
        <v>0</v>
      </c>
      <c r="M40" s="45">
        <f t="shared" si="4"/>
        <v>0</v>
      </c>
      <c r="N40" s="45">
        <f>M40*'ფასი კლინიკებით'!$B$32</f>
        <v>0</v>
      </c>
    </row>
    <row r="41" spans="1:14" x14ac:dyDescent="0.3">
      <c r="A41" s="42" t="str">
        <f>'მომწოდებლის ფორმა'!A12</f>
        <v>ალბუმინი ALB G1</v>
      </c>
      <c r="B41" s="46">
        <f>IF(OR('მომწოდებლის ფორმა'!$R12="",N('მომწოდებლის ფორმა'!$T12)=0,COUNTIF('მომწოდებლის ფორმა'!$R$4:$R12,'მომწოდებლის ფორმა'!$R12)&gt;1,SUMIF('მომწოდებლის ფორმა'!$R$4:$R$27,'მომწოდებლის ფორმა'!$R12,'მომწოდებლის ფორმა'!B$4:B$27)&lt;=0),0,30/'მომწოდებლის ფორმა'!$T12)</f>
        <v>0</v>
      </c>
      <c r="C41" s="46">
        <f>IF(OR('მომწოდებლის ფორმა'!$R12="",N('მომწოდებლის ფორმა'!$T12)=0,COUNTIF('მომწოდებლის ფორმა'!$R$4:$R12,'მომწოდებლის ფორმა'!$R12)&gt;1,SUMIF('მომწოდებლის ფორმა'!$R$4:$R$27,'მომწოდებლის ფორმა'!$R12,'მომწოდებლის ფორმა'!C$4:C$27)&lt;=0),0,30/'მომწოდებლის ფორმა'!$T12)</f>
        <v>0</v>
      </c>
      <c r="D41" s="46">
        <f>IF(OR('მომწოდებლის ფორმა'!$R12="",N('მომწოდებლის ფორმა'!$T12)=0,COUNTIF('მომწოდებლის ფორმა'!$R$4:$R12,'მომწოდებლის ფორმა'!$R12)&gt;1,SUMIF('მომწოდებლის ფორმა'!$R$4:$R$27,'მომწოდებლის ფორმა'!$R12,'მომწოდებლის ფორმა'!D$4:D$27)&lt;=0),0,30/'მომწოდებლის ფორმა'!$T12)</f>
        <v>0</v>
      </c>
      <c r="E41" s="46">
        <f>IF(OR('მომწოდებლის ფორმა'!$R12="",N('მომწოდებლის ფორმა'!$T12)=0,COUNTIF('მომწოდებლის ფორმა'!$R$4:$R12,'მომწოდებლის ფორმა'!$R12)&gt;1,SUMIF('მომწოდებლის ფორმა'!$R$4:$R$27,'მომწოდებლის ფორმა'!$R12,'მომწოდებლის ფორმა'!E$4:E$27)&lt;=0),0,30/'მომწოდებლის ფორმა'!$T12)</f>
        <v>0</v>
      </c>
      <c r="F41" s="46">
        <f>IF(OR('მომწოდებლის ფორმა'!$R12="",N('მომწოდებლის ფორმა'!$T12)=0,COUNTIF('მომწოდებლის ფორმა'!$R$4:$R12,'მომწოდებლის ფორმა'!$R12)&gt;1,SUMIF('მომწოდებლის ფორმა'!$R$4:$R$27,'მომწოდებლის ფორმა'!$R12,'მომწოდებლის ფორმა'!F$4:F$27)&lt;=0),0,30/'მომწოდებლის ფორმა'!$T12)</f>
        <v>0</v>
      </c>
      <c r="G41" s="46">
        <f>IF(OR('მომწოდებლის ფორმა'!$R12="",N('მომწოდებლის ფორმა'!$T12)=0,COUNTIF('მომწოდებლის ფორმა'!$R$4:$R12,'მომწოდებლის ფორმა'!$R12)&gt;1,SUMIF('მომწოდებლის ფორმა'!$R$4:$R$27,'მომწოდებლის ფორმა'!$R12,'მომწოდებლის ფორმა'!G$4:G$27)&lt;=0),0,30/'მომწოდებლის ფორმა'!$T12)</f>
        <v>0</v>
      </c>
      <c r="H41" s="46">
        <f>IF(OR('მომწოდებლის ფორმა'!$R12="",N('მომწოდებლის ფორმა'!$T12)=0,COUNTIF('მომწოდებლის ფორმა'!$R$4:$R12,'მომწოდებლის ფორმა'!$R12)&gt;1,SUMIF('მომწოდებლის ფორმა'!$R$4:$R$27,'მომწოდებლის ფორმა'!$R12,'მომწოდებლის ფორმა'!H$4:H$27)&lt;=0),0,30/'მომწოდებლის ფორმა'!$T12)</f>
        <v>0</v>
      </c>
      <c r="I41" s="46">
        <f>IF(OR('მომწოდებლის ფორმა'!$R12="",N('მომწოდებლის ფორმა'!$T12)=0,COUNTIF('მომწოდებლის ფორმა'!$R$4:$R12,'მომწოდებლის ფორმა'!$R12)&gt;1,SUMIF('მომწოდებლის ფორმა'!$R$4:$R$27,'მომწოდებლის ფორმა'!$R12,'მომწოდებლის ფორმა'!I$4:I$27)&lt;=0),0,30/'მომწოდებლის ფორმა'!$T12)</f>
        <v>0</v>
      </c>
      <c r="J41" s="46">
        <f t="shared" si="2"/>
        <v>0</v>
      </c>
      <c r="K41" s="44">
        <f t="shared" si="3"/>
        <v>0</v>
      </c>
      <c r="L41" s="45">
        <f>N('მომწოდებლის ფორმა'!$S12)*N('მომწოდებლის ფორმა'!$AB12)</f>
        <v>0</v>
      </c>
      <c r="M41" s="45">
        <f t="shared" si="4"/>
        <v>0</v>
      </c>
      <c r="N41" s="45">
        <f>M41*'ფასი კლინიკებით'!$B$32</f>
        <v>0</v>
      </c>
    </row>
    <row r="42" spans="1:14" x14ac:dyDescent="0.3">
      <c r="A42" s="42" t="str">
        <f>'მომწოდებლის ფორმა'!A13</f>
        <v>კრეატინინი Cr G1</v>
      </c>
      <c r="B42" s="46">
        <f>IF(OR('მომწოდებლის ფორმა'!$R13="",N('მომწოდებლის ფორმა'!$T13)=0,COUNTIF('მომწოდებლის ფორმა'!$R$4:$R13,'მომწოდებლის ფორმა'!$R13)&gt;1,SUMIF('მომწოდებლის ფორმა'!$R$4:$R$27,'მომწოდებლის ფორმა'!$R13,'მომწოდებლის ფორმა'!B$4:B$27)&lt;=0),0,30/'მომწოდებლის ფორმა'!$T13)</f>
        <v>0</v>
      </c>
      <c r="C42" s="46">
        <f>IF(OR('მომწოდებლის ფორმა'!$R13="",N('მომწოდებლის ფორმა'!$T13)=0,COUNTIF('მომწოდებლის ფორმა'!$R$4:$R13,'მომწოდებლის ფორმა'!$R13)&gt;1,SUMIF('მომწოდებლის ფორმა'!$R$4:$R$27,'მომწოდებლის ფორმა'!$R13,'მომწოდებლის ფორმა'!C$4:C$27)&lt;=0),0,30/'მომწოდებლის ფორმა'!$T13)</f>
        <v>0</v>
      </c>
      <c r="D42" s="46">
        <f>IF(OR('მომწოდებლის ფორმა'!$R13="",N('მომწოდებლის ფორმა'!$T13)=0,COUNTIF('მომწოდებლის ფორმა'!$R$4:$R13,'მომწოდებლის ფორმა'!$R13)&gt;1,SUMIF('მომწოდებლის ფორმა'!$R$4:$R$27,'მომწოდებლის ფორმა'!$R13,'მომწოდებლის ფორმა'!D$4:D$27)&lt;=0),0,30/'მომწოდებლის ფორმა'!$T13)</f>
        <v>0</v>
      </c>
      <c r="E42" s="46">
        <f>IF(OR('მომწოდებლის ფორმა'!$R13="",N('მომწოდებლის ფორმა'!$T13)=0,COUNTIF('მომწოდებლის ფორმა'!$R$4:$R13,'მომწოდებლის ფორმა'!$R13)&gt;1,SUMIF('მომწოდებლის ფორმა'!$R$4:$R$27,'მომწოდებლის ფორმა'!$R13,'მომწოდებლის ფორმა'!E$4:E$27)&lt;=0),0,30/'მომწოდებლის ფორმა'!$T13)</f>
        <v>0</v>
      </c>
      <c r="F42" s="46">
        <f>IF(OR('მომწოდებლის ფორმა'!$R13="",N('მომწოდებლის ფორმა'!$T13)=0,COUNTIF('მომწოდებლის ფორმა'!$R$4:$R13,'მომწოდებლის ფორმა'!$R13)&gt;1,SUMIF('მომწოდებლის ფორმა'!$R$4:$R$27,'მომწოდებლის ფორმა'!$R13,'მომწოდებლის ფორმა'!F$4:F$27)&lt;=0),0,30/'მომწოდებლის ფორმა'!$T13)</f>
        <v>0</v>
      </c>
      <c r="G42" s="46">
        <f>IF(OR('მომწოდებლის ფორმა'!$R13="",N('მომწოდებლის ფორმა'!$T13)=0,COUNTIF('მომწოდებლის ფორმა'!$R$4:$R13,'მომწოდებლის ფორმა'!$R13)&gt;1,SUMIF('მომწოდებლის ფორმა'!$R$4:$R$27,'მომწოდებლის ფორმა'!$R13,'მომწოდებლის ფორმა'!G$4:G$27)&lt;=0),0,30/'მომწოდებლის ფორმა'!$T13)</f>
        <v>0</v>
      </c>
      <c r="H42" s="46">
        <f>IF(OR('მომწოდებლის ფორმა'!$R13="",N('მომწოდებლის ფორმა'!$T13)=0,COUNTIF('მომწოდებლის ფორმა'!$R$4:$R13,'მომწოდებლის ფორმა'!$R13)&gt;1,SUMIF('მომწოდებლის ფორმა'!$R$4:$R$27,'მომწოდებლის ფორმა'!$R13,'მომწოდებლის ფორმა'!H$4:H$27)&lt;=0),0,30/'მომწოდებლის ფორმა'!$T13)</f>
        <v>0</v>
      </c>
      <c r="I42" s="46">
        <f>IF(OR('მომწოდებლის ფორმა'!$R13="",N('მომწოდებლის ფორმა'!$T13)=0,COUNTIF('მომწოდებლის ფორმა'!$R$4:$R13,'მომწოდებლის ფორმა'!$R13)&gt;1,SUMIF('მომწოდებლის ფორმა'!$R$4:$R$27,'მომწოდებლის ფორმა'!$R13,'მომწოდებლის ფორმა'!I$4:I$27)&lt;=0),0,30/'მომწოდებლის ფორმა'!$T13)</f>
        <v>0</v>
      </c>
      <c r="J42" s="46">
        <f t="shared" si="2"/>
        <v>0</v>
      </c>
      <c r="K42" s="44">
        <f t="shared" si="3"/>
        <v>0</v>
      </c>
      <c r="L42" s="45">
        <f>N('მომწოდებლის ფორმა'!$S13)*N('მომწოდებლის ფორმა'!$AB13)</f>
        <v>0</v>
      </c>
      <c r="M42" s="45">
        <f t="shared" si="4"/>
        <v>0</v>
      </c>
      <c r="N42" s="45">
        <f>M42*'ფასი კლინიკებით'!$B$32</f>
        <v>0</v>
      </c>
    </row>
    <row r="43" spans="1:14" x14ac:dyDescent="0.3">
      <c r="A43" s="42" t="str">
        <f>'მომწოდებლის ფორმა'!A14</f>
        <v>შარდოვანა Urea G1</v>
      </c>
      <c r="B43" s="46">
        <f>IF(OR('მომწოდებლის ფორმა'!$R14="",N('მომწოდებლის ფორმა'!$T14)=0,COUNTIF('მომწოდებლის ფორმა'!$R$4:$R14,'მომწოდებლის ფორმა'!$R14)&gt;1,SUMIF('მომწოდებლის ფორმა'!$R$4:$R$27,'მომწოდებლის ფორმა'!$R14,'მომწოდებლის ფორმა'!B$4:B$27)&lt;=0),0,30/'მომწოდებლის ფორმა'!$T14)</f>
        <v>0</v>
      </c>
      <c r="C43" s="46">
        <f>IF(OR('მომწოდებლის ფორმა'!$R14="",N('მომწოდებლის ფორმა'!$T14)=0,COUNTIF('მომწოდებლის ფორმა'!$R$4:$R14,'მომწოდებლის ფორმა'!$R14)&gt;1,SUMIF('მომწოდებლის ფორმა'!$R$4:$R$27,'მომწოდებლის ფორმა'!$R14,'მომწოდებლის ფორმა'!C$4:C$27)&lt;=0),0,30/'მომწოდებლის ფორმა'!$T14)</f>
        <v>0</v>
      </c>
      <c r="D43" s="46">
        <f>IF(OR('მომწოდებლის ფორმა'!$R14="",N('მომწოდებლის ფორმა'!$T14)=0,COUNTIF('მომწოდებლის ფორმა'!$R$4:$R14,'მომწოდებლის ფორმა'!$R14)&gt;1,SUMIF('მომწოდებლის ფორმა'!$R$4:$R$27,'მომწოდებლის ფორმა'!$R14,'მომწოდებლის ფორმა'!D$4:D$27)&lt;=0),0,30/'მომწოდებლის ფორმა'!$T14)</f>
        <v>0</v>
      </c>
      <c r="E43" s="46">
        <f>IF(OR('მომწოდებლის ფორმა'!$R14="",N('მომწოდებლის ფორმა'!$T14)=0,COUNTIF('მომწოდებლის ფორმა'!$R$4:$R14,'მომწოდებლის ფორმა'!$R14)&gt;1,SUMIF('მომწოდებლის ფორმა'!$R$4:$R$27,'მომწოდებლის ფორმა'!$R14,'მომწოდებლის ფორმა'!E$4:E$27)&lt;=0),0,30/'მომწოდებლის ფორმა'!$T14)</f>
        <v>0</v>
      </c>
      <c r="F43" s="46">
        <f>IF(OR('მომწოდებლის ფორმა'!$R14="",N('მომწოდებლის ფორმა'!$T14)=0,COUNTIF('მომწოდებლის ფორმა'!$R$4:$R14,'მომწოდებლის ფორმა'!$R14)&gt;1,SUMIF('მომწოდებლის ფორმა'!$R$4:$R$27,'მომწოდებლის ფორმა'!$R14,'მომწოდებლის ფორმა'!F$4:F$27)&lt;=0),0,30/'მომწოდებლის ფორმა'!$T14)</f>
        <v>0</v>
      </c>
      <c r="G43" s="46">
        <f>IF(OR('მომწოდებლის ფორმა'!$R14="",N('მომწოდებლის ფორმა'!$T14)=0,COUNTIF('მომწოდებლის ფორმა'!$R$4:$R14,'მომწოდებლის ფორმა'!$R14)&gt;1,SUMIF('მომწოდებლის ფორმა'!$R$4:$R$27,'მომწოდებლის ფორმა'!$R14,'მომწოდებლის ფორმა'!G$4:G$27)&lt;=0),0,30/'მომწოდებლის ფორმა'!$T14)</f>
        <v>0</v>
      </c>
      <c r="H43" s="46">
        <f>IF(OR('მომწოდებლის ფორმა'!$R14="",N('მომწოდებლის ფორმა'!$T14)=0,COUNTIF('მომწოდებლის ფორმა'!$R$4:$R14,'მომწოდებლის ფორმა'!$R14)&gt;1,SUMIF('მომწოდებლის ფორმა'!$R$4:$R$27,'მომწოდებლის ფორმა'!$R14,'მომწოდებლის ფორმა'!H$4:H$27)&lt;=0),0,30/'მომწოდებლის ფორმა'!$T14)</f>
        <v>0</v>
      </c>
      <c r="I43" s="46">
        <f>IF(OR('მომწოდებლის ფორმა'!$R14="",N('მომწოდებლის ფორმა'!$T14)=0,COUNTIF('მომწოდებლის ფორმა'!$R$4:$R14,'მომწოდებლის ფორმა'!$R14)&gt;1,SUMIF('მომწოდებლის ფორმა'!$R$4:$R$27,'მომწოდებლის ფორმა'!$R14,'მომწოდებლის ფორმა'!I$4:I$27)&lt;=0),0,30/'მომწოდებლის ფორმა'!$T14)</f>
        <v>0</v>
      </c>
      <c r="J43" s="46">
        <f t="shared" si="2"/>
        <v>0</v>
      </c>
      <c r="K43" s="44">
        <f t="shared" si="3"/>
        <v>0</v>
      </c>
      <c r="L43" s="45">
        <f>N('მომწოდებლის ფორმა'!$S14)*N('მომწოდებლის ფორმა'!$AB14)</f>
        <v>0</v>
      </c>
      <c r="M43" s="45">
        <f t="shared" si="4"/>
        <v>0</v>
      </c>
      <c r="N43" s="45">
        <f>M43*'ფასი კლინიკებით'!$B$32</f>
        <v>0</v>
      </c>
    </row>
    <row r="44" spans="1:14" x14ac:dyDescent="0.3">
      <c r="A44" s="42" t="str">
        <f>'მომწოდებლის ფორმა'!A15</f>
        <v>რკინა Fe G1</v>
      </c>
      <c r="B44" s="46">
        <f>IF(OR('მომწოდებლის ფორმა'!$R15="",N('მომწოდებლის ფორმა'!$T15)=0,COUNTIF('მომწოდებლის ფორმა'!$R$4:$R15,'მომწოდებლის ფორმა'!$R15)&gt;1,SUMIF('მომწოდებლის ფორმა'!$R$4:$R$27,'მომწოდებლის ფორმა'!$R15,'მომწოდებლის ფორმა'!B$4:B$27)&lt;=0),0,30/'მომწოდებლის ფორმა'!$T15)</f>
        <v>0</v>
      </c>
      <c r="C44" s="46">
        <f>IF(OR('მომწოდებლის ფორმა'!$R15="",N('მომწოდებლის ფორმა'!$T15)=0,COUNTIF('მომწოდებლის ფორმა'!$R$4:$R15,'მომწოდებლის ფორმა'!$R15)&gt;1,SUMIF('მომწოდებლის ფორმა'!$R$4:$R$27,'მომწოდებლის ფორმა'!$R15,'მომწოდებლის ფორმა'!C$4:C$27)&lt;=0),0,30/'მომწოდებლის ფორმა'!$T15)</f>
        <v>0</v>
      </c>
      <c r="D44" s="46">
        <f>IF(OR('მომწოდებლის ფორმა'!$R15="",N('მომწოდებლის ფორმა'!$T15)=0,COUNTIF('მომწოდებლის ფორმა'!$R$4:$R15,'მომწოდებლის ფორმა'!$R15)&gt;1,SUMIF('მომწოდებლის ფორმა'!$R$4:$R$27,'მომწოდებლის ფორმა'!$R15,'მომწოდებლის ფორმა'!D$4:D$27)&lt;=0),0,30/'მომწოდებლის ფორმა'!$T15)</f>
        <v>0</v>
      </c>
      <c r="E44" s="46">
        <f>IF(OR('მომწოდებლის ფორმა'!$R15="",N('მომწოდებლის ფორმა'!$T15)=0,COUNTIF('მომწოდებლის ფორმა'!$R$4:$R15,'მომწოდებლის ფორმა'!$R15)&gt;1,SUMIF('მომწოდებლის ფორმა'!$R$4:$R$27,'მომწოდებლის ფორმა'!$R15,'მომწოდებლის ფორმა'!E$4:E$27)&lt;=0),0,30/'მომწოდებლის ფორმა'!$T15)</f>
        <v>0</v>
      </c>
      <c r="F44" s="46">
        <f>IF(OR('მომწოდებლის ფორმა'!$R15="",N('მომწოდებლის ფორმა'!$T15)=0,COUNTIF('მომწოდებლის ფორმა'!$R$4:$R15,'მომწოდებლის ფორმა'!$R15)&gt;1,SUMIF('მომწოდებლის ფორმა'!$R$4:$R$27,'მომწოდებლის ფორმა'!$R15,'მომწოდებლის ფორმა'!F$4:F$27)&lt;=0),0,30/'მომწოდებლის ფორმა'!$T15)</f>
        <v>0</v>
      </c>
      <c r="G44" s="46">
        <f>IF(OR('მომწოდებლის ფორმა'!$R15="",N('მომწოდებლის ფორმა'!$T15)=0,COUNTIF('მომწოდებლის ფორმა'!$R$4:$R15,'მომწოდებლის ფორმა'!$R15)&gt;1,SUMIF('მომწოდებლის ფორმა'!$R$4:$R$27,'მომწოდებლის ფორმა'!$R15,'მომწოდებლის ფორმა'!G$4:G$27)&lt;=0),0,30/'მომწოდებლის ფორმა'!$T15)</f>
        <v>0</v>
      </c>
      <c r="H44" s="46">
        <f>IF(OR('მომწოდებლის ფორმა'!$R15="",N('მომწოდებლის ფორმა'!$T15)=0,COUNTIF('მომწოდებლის ფორმა'!$R$4:$R15,'მომწოდებლის ფორმა'!$R15)&gt;1,SUMIF('მომწოდებლის ფორმა'!$R$4:$R$27,'მომწოდებლის ფორმა'!$R15,'მომწოდებლის ფორმა'!H$4:H$27)&lt;=0),0,30/'მომწოდებლის ფორმა'!$T15)</f>
        <v>0</v>
      </c>
      <c r="I44" s="46">
        <f>IF(OR('მომწოდებლის ფორმა'!$R15="",N('მომწოდებლის ფორმა'!$T15)=0,COUNTIF('მომწოდებლის ფორმა'!$R$4:$R15,'მომწოდებლის ფორმა'!$R15)&gt;1,SUMIF('მომწოდებლის ფორმა'!$R$4:$R$27,'მომწოდებლის ფორმა'!$R15,'მომწოდებლის ფორმა'!I$4:I$27)&lt;=0),0,30/'მომწოდებლის ფორმა'!$T15)</f>
        <v>0</v>
      </c>
      <c r="J44" s="46">
        <f t="shared" si="2"/>
        <v>0</v>
      </c>
      <c r="K44" s="44">
        <f t="shared" si="3"/>
        <v>0</v>
      </c>
      <c r="L44" s="45">
        <f>N('მომწოდებლის ფორმა'!$S15)*N('მომწოდებლის ფორმა'!$AB15)</f>
        <v>0</v>
      </c>
      <c r="M44" s="45">
        <f t="shared" si="4"/>
        <v>0</v>
      </c>
      <c r="N44" s="45">
        <f>M44*'ფასი კლინიკებით'!$B$32</f>
        <v>0</v>
      </c>
    </row>
    <row r="45" spans="1:14" x14ac:dyDescent="0.3">
      <c r="A45" s="42" t="str">
        <f>'მომწოდებლის ფორმა'!A16</f>
        <v>რეაქტიული ცილა CRP G1</v>
      </c>
      <c r="B45" s="46">
        <f>IF(OR('მომწოდებლის ფორმა'!$R16="",N('მომწოდებლის ფორმა'!$T16)=0,COUNTIF('მომწოდებლის ფორმა'!$R$4:$R16,'მომწოდებლის ფორმა'!$R16)&gt;1,SUMIF('მომწოდებლის ფორმა'!$R$4:$R$27,'მომწოდებლის ფორმა'!$R16,'მომწოდებლის ფორმა'!B$4:B$27)&lt;=0),0,30/'მომწოდებლის ფორმა'!$T16)</f>
        <v>0</v>
      </c>
      <c r="C45" s="46">
        <f>IF(OR('მომწოდებლის ფორმა'!$R16="",N('მომწოდებლის ფორმა'!$T16)=0,COUNTIF('მომწოდებლის ფორმა'!$R$4:$R16,'მომწოდებლის ფორმა'!$R16)&gt;1,SUMIF('მომწოდებლის ფორმა'!$R$4:$R$27,'მომწოდებლის ფორმა'!$R16,'მომწოდებლის ფორმა'!C$4:C$27)&lt;=0),0,30/'მომწოდებლის ფორმა'!$T16)</f>
        <v>0</v>
      </c>
      <c r="D45" s="46">
        <f>IF(OR('მომწოდებლის ფორმა'!$R16="",N('მომწოდებლის ფორმა'!$T16)=0,COUNTIF('მომწოდებლის ფორმა'!$R$4:$R16,'მომწოდებლის ფორმა'!$R16)&gt;1,SUMIF('მომწოდებლის ფორმა'!$R$4:$R$27,'მომწოდებლის ფორმა'!$R16,'მომწოდებლის ფორმა'!D$4:D$27)&lt;=0),0,30/'მომწოდებლის ფორმა'!$T16)</f>
        <v>0</v>
      </c>
      <c r="E45" s="46">
        <f>IF(OR('მომწოდებლის ფორმა'!$R16="",N('მომწოდებლის ფორმა'!$T16)=0,COUNTIF('მომწოდებლის ფორმა'!$R$4:$R16,'მომწოდებლის ფორმა'!$R16)&gt;1,SUMIF('მომწოდებლის ფორმა'!$R$4:$R$27,'მომწოდებლის ფორმა'!$R16,'მომწოდებლის ფორმა'!E$4:E$27)&lt;=0),0,30/'მომწოდებლის ფორმა'!$T16)</f>
        <v>0</v>
      </c>
      <c r="F45" s="46">
        <f>IF(OR('მომწოდებლის ფორმა'!$R16="",N('მომწოდებლის ფორმა'!$T16)=0,COUNTIF('მომწოდებლის ფორმა'!$R$4:$R16,'მომწოდებლის ფორმა'!$R16)&gt;1,SUMIF('მომწოდებლის ფორმა'!$R$4:$R$27,'მომწოდებლის ფორმა'!$R16,'მომწოდებლის ფორმა'!F$4:F$27)&lt;=0),0,30/'მომწოდებლის ფორმა'!$T16)</f>
        <v>0</v>
      </c>
      <c r="G45" s="46">
        <f>IF(OR('მომწოდებლის ფორმა'!$R16="",N('მომწოდებლის ფორმა'!$T16)=0,COUNTIF('მომწოდებლის ფორმა'!$R$4:$R16,'მომწოდებლის ფორმა'!$R16)&gt;1,SUMIF('მომწოდებლის ფორმა'!$R$4:$R$27,'მომწოდებლის ფორმა'!$R16,'მომწოდებლის ფორმა'!G$4:G$27)&lt;=0),0,30/'მომწოდებლის ფორმა'!$T16)</f>
        <v>0</v>
      </c>
      <c r="H45" s="46">
        <f>IF(OR('მომწოდებლის ფორმა'!$R16="",N('მომწოდებლის ფორმა'!$T16)=0,COUNTIF('მომწოდებლის ფორმა'!$R$4:$R16,'მომწოდებლის ფორმა'!$R16)&gt;1,SUMIF('მომწოდებლის ფორმა'!$R$4:$R$27,'მომწოდებლის ფორმა'!$R16,'მომწოდებლის ფორმა'!H$4:H$27)&lt;=0),0,30/'მომწოდებლის ფორმა'!$T16)</f>
        <v>0</v>
      </c>
      <c r="I45" s="46">
        <f>IF(OR('მომწოდებლის ფორმა'!$R16="",N('მომწოდებლის ფორმა'!$T16)=0,COUNTIF('მომწოდებლის ფორმა'!$R$4:$R16,'მომწოდებლის ფორმა'!$R16)&gt;1,SUMIF('მომწოდებლის ფორმა'!$R$4:$R$27,'მომწოდებლის ფორმა'!$R16,'მომწოდებლის ფორმა'!I$4:I$27)&lt;=0),0,30/'მომწოდებლის ფორმა'!$T16)</f>
        <v>0</v>
      </c>
      <c r="J45" s="46">
        <f t="shared" si="2"/>
        <v>0</v>
      </c>
      <c r="K45" s="44">
        <f t="shared" si="3"/>
        <v>0</v>
      </c>
      <c r="L45" s="45">
        <f>N('მომწოდებლის ფორმა'!$S16)*N('მომწოდებლის ფორმა'!$AB16)</f>
        <v>0</v>
      </c>
      <c r="M45" s="45">
        <f t="shared" si="4"/>
        <v>0</v>
      </c>
      <c r="N45" s="45">
        <f>M45*'ფასი კლინიკებით'!$B$32</f>
        <v>0</v>
      </c>
    </row>
    <row r="46" spans="1:14" x14ac:dyDescent="0.3">
      <c r="A46" s="42" t="str">
        <f>'მომწოდებლის ფორმა'!A17</f>
        <v>a-ამილაზა AMY G1</v>
      </c>
      <c r="B46" s="46">
        <f>IF(OR('მომწოდებლის ფორმა'!$R17="",N('მომწოდებლის ფორმა'!$T17)=0,COUNTIF('მომწოდებლის ფორმა'!$R$4:$R17,'მომწოდებლის ფორმა'!$R17)&gt;1,SUMIF('მომწოდებლის ფორმა'!$R$4:$R$27,'მომწოდებლის ფორმა'!$R17,'მომწოდებლის ფორმა'!B$4:B$27)&lt;=0),0,30/'მომწოდებლის ფორმა'!$T17)</f>
        <v>0</v>
      </c>
      <c r="C46" s="46">
        <f>IF(OR('მომწოდებლის ფორმა'!$R17="",N('მომწოდებლის ფორმა'!$T17)=0,COUNTIF('მომწოდებლის ფორმა'!$R$4:$R17,'მომწოდებლის ფორმა'!$R17)&gt;1,SUMIF('მომწოდებლის ფორმა'!$R$4:$R$27,'მომწოდებლის ფორმა'!$R17,'მომწოდებლის ფორმა'!C$4:C$27)&lt;=0),0,30/'მომწოდებლის ფორმა'!$T17)</f>
        <v>0</v>
      </c>
      <c r="D46" s="46">
        <f>IF(OR('მომწოდებლის ფორმა'!$R17="",N('მომწოდებლის ფორმა'!$T17)=0,COUNTIF('მომწოდებლის ფორმა'!$R$4:$R17,'მომწოდებლის ფორმა'!$R17)&gt;1,SUMIF('მომწოდებლის ფორმა'!$R$4:$R$27,'მომწოდებლის ფორმა'!$R17,'მომწოდებლის ფორმა'!D$4:D$27)&lt;=0),0,30/'მომწოდებლის ფორმა'!$T17)</f>
        <v>0</v>
      </c>
      <c r="E46" s="46">
        <f>IF(OR('მომწოდებლის ფორმა'!$R17="",N('მომწოდებლის ფორმა'!$T17)=0,COUNTIF('მომწოდებლის ფორმა'!$R$4:$R17,'მომწოდებლის ფორმა'!$R17)&gt;1,SUMIF('მომწოდებლის ფორმა'!$R$4:$R$27,'მომწოდებლის ფორმა'!$R17,'მომწოდებლის ფორმა'!E$4:E$27)&lt;=0),0,30/'მომწოდებლის ფორმა'!$T17)</f>
        <v>0</v>
      </c>
      <c r="F46" s="46">
        <f>IF(OR('მომწოდებლის ფორმა'!$R17="",N('მომწოდებლის ფორმა'!$T17)=0,COUNTIF('მომწოდებლის ფორმა'!$R$4:$R17,'მომწოდებლის ფორმა'!$R17)&gt;1,SUMIF('მომწოდებლის ფორმა'!$R$4:$R$27,'მომწოდებლის ფორმა'!$R17,'მომწოდებლის ფორმა'!F$4:F$27)&lt;=0),0,30/'მომწოდებლის ფორმა'!$T17)</f>
        <v>0</v>
      </c>
      <c r="G46" s="46">
        <f>IF(OR('მომწოდებლის ფორმა'!$R17="",N('მომწოდებლის ფორმა'!$T17)=0,COUNTIF('მომწოდებლის ფორმა'!$R$4:$R17,'მომწოდებლის ფორმა'!$R17)&gt;1,SUMIF('მომწოდებლის ფორმა'!$R$4:$R$27,'მომწოდებლის ფორმა'!$R17,'მომწოდებლის ფორმა'!G$4:G$27)&lt;=0),0,30/'მომწოდებლის ფორმა'!$T17)</f>
        <v>0</v>
      </c>
      <c r="H46" s="46">
        <f>IF(OR('მომწოდებლის ფორმა'!$R17="",N('მომწოდებლის ფორმა'!$T17)=0,COUNTIF('მომწოდებლის ფორმა'!$R$4:$R17,'მომწოდებლის ფორმა'!$R17)&gt;1,SUMIF('მომწოდებლის ფორმა'!$R$4:$R$27,'მომწოდებლის ფორმა'!$R17,'მომწოდებლის ფორმა'!H$4:H$27)&lt;=0),0,30/'მომწოდებლის ფორმა'!$T17)</f>
        <v>0</v>
      </c>
      <c r="I46" s="46">
        <f>IF(OR('მომწოდებლის ფორმა'!$R17="",N('მომწოდებლის ფორმა'!$T17)=0,COUNTIF('მომწოდებლის ფორმა'!$R$4:$R17,'მომწოდებლის ფორმა'!$R17)&gt;1,SUMIF('მომწოდებლის ფორმა'!$R$4:$R$27,'მომწოდებლის ფორმა'!$R17,'მომწოდებლის ფორმა'!I$4:I$27)&lt;=0),0,30/'მომწოდებლის ფორმა'!$T17)</f>
        <v>0</v>
      </c>
      <c r="J46" s="46">
        <f t="shared" si="2"/>
        <v>0</v>
      </c>
      <c r="K46" s="44">
        <f t="shared" si="3"/>
        <v>0</v>
      </c>
      <c r="L46" s="45">
        <f>N('მომწოდებლის ფორმა'!$S17)*N('მომწოდებლის ფორმა'!$AB17)</f>
        <v>0</v>
      </c>
      <c r="M46" s="45">
        <f t="shared" si="4"/>
        <v>0</v>
      </c>
      <c r="N46" s="45">
        <f>M46*'ფასი კლინიკებით'!$B$32</f>
        <v>0</v>
      </c>
    </row>
    <row r="47" spans="1:14" x14ac:dyDescent="0.3">
      <c r="A47" s="42" t="str">
        <f>'მომწოდებლის ფორმა'!A18</f>
        <v>მაღალი სიმკვრივის ლიპოპროტეინ ქოლესტეროლი HDL-C G1</v>
      </c>
      <c r="B47" s="46">
        <f>IF(OR('მომწოდებლის ფორმა'!$R18="",N('მომწოდებლის ფორმა'!$T18)=0,COUNTIF('მომწოდებლის ფორმა'!$R$4:$R18,'მომწოდებლის ფორმა'!$R18)&gt;1,SUMIF('მომწოდებლის ფორმა'!$R$4:$R$27,'მომწოდებლის ფორმა'!$R18,'მომწოდებლის ფორმა'!B$4:B$27)&lt;=0),0,30/'მომწოდებლის ფორმა'!$T18)</f>
        <v>0</v>
      </c>
      <c r="C47" s="46">
        <f>IF(OR('მომწოდებლის ფორმა'!$R18="",N('მომწოდებლის ფორმა'!$T18)=0,COUNTIF('მომწოდებლის ფორმა'!$R$4:$R18,'მომწოდებლის ფორმა'!$R18)&gt;1,SUMIF('მომწოდებლის ფორმა'!$R$4:$R$27,'მომწოდებლის ფორმა'!$R18,'მომწოდებლის ფორმა'!C$4:C$27)&lt;=0),0,30/'მომწოდებლის ფორმა'!$T18)</f>
        <v>0</v>
      </c>
      <c r="D47" s="46">
        <f>IF(OR('მომწოდებლის ფორმა'!$R18="",N('მომწოდებლის ფორმა'!$T18)=0,COUNTIF('მომწოდებლის ფორმა'!$R$4:$R18,'მომწოდებლის ფორმა'!$R18)&gt;1,SUMIF('მომწოდებლის ფორმა'!$R$4:$R$27,'მომწოდებლის ფორმა'!$R18,'მომწოდებლის ფორმა'!D$4:D$27)&lt;=0),0,30/'მომწოდებლის ფორმა'!$T18)</f>
        <v>0</v>
      </c>
      <c r="E47" s="46">
        <f>IF(OR('მომწოდებლის ფორმა'!$R18="",N('მომწოდებლის ფორმა'!$T18)=0,COUNTIF('მომწოდებლის ფორმა'!$R$4:$R18,'მომწოდებლის ფორმა'!$R18)&gt;1,SUMIF('მომწოდებლის ფორმა'!$R$4:$R$27,'მომწოდებლის ფორმა'!$R18,'მომწოდებლის ფორმა'!E$4:E$27)&lt;=0),0,30/'მომწოდებლის ფორმა'!$T18)</f>
        <v>0</v>
      </c>
      <c r="F47" s="46">
        <f>IF(OR('მომწოდებლის ფორმა'!$R18="",N('მომწოდებლის ფორმა'!$T18)=0,COUNTIF('მომწოდებლის ფორმა'!$R$4:$R18,'მომწოდებლის ფორმა'!$R18)&gt;1,SUMIF('მომწოდებლის ფორმა'!$R$4:$R$27,'მომწოდებლის ფორმა'!$R18,'მომწოდებლის ფორმა'!F$4:F$27)&lt;=0),0,30/'მომწოდებლის ფორმა'!$T18)</f>
        <v>0</v>
      </c>
      <c r="G47" s="46">
        <f>IF(OR('მომწოდებლის ფორმა'!$R18="",N('მომწოდებლის ფორმა'!$T18)=0,COUNTIF('მომწოდებლის ფორმა'!$R$4:$R18,'მომწოდებლის ფორმა'!$R18)&gt;1,SUMIF('მომწოდებლის ფორმა'!$R$4:$R$27,'მომწოდებლის ფორმა'!$R18,'მომწოდებლის ფორმა'!G$4:G$27)&lt;=0),0,30/'მომწოდებლის ფორმა'!$T18)</f>
        <v>0</v>
      </c>
      <c r="H47" s="46">
        <f>IF(OR('მომწოდებლის ფორმა'!$R18="",N('მომწოდებლის ფორმა'!$T18)=0,COUNTIF('მომწოდებლის ფორმა'!$R$4:$R18,'მომწოდებლის ფორმა'!$R18)&gt;1,SUMIF('მომწოდებლის ფორმა'!$R$4:$R$27,'მომწოდებლის ფორმა'!$R18,'მომწოდებლის ფორმა'!H$4:H$27)&lt;=0),0,30/'მომწოდებლის ფორმა'!$T18)</f>
        <v>0</v>
      </c>
      <c r="I47" s="46">
        <f>IF(OR('მომწოდებლის ფორმა'!$R18="",N('მომწოდებლის ფორმა'!$T18)=0,COUNTIF('მომწოდებლის ფორმა'!$R$4:$R18,'მომწოდებლის ფორმა'!$R18)&gt;1,SUMIF('მომწოდებლის ფორმა'!$R$4:$R$27,'მომწოდებლის ფორმა'!$R18,'მომწოდებლის ფორმა'!I$4:I$27)&lt;=0),0,30/'მომწოდებლის ფორმა'!$T18)</f>
        <v>0</v>
      </c>
      <c r="J47" s="46">
        <f t="shared" si="2"/>
        <v>0</v>
      </c>
      <c r="K47" s="44">
        <f t="shared" si="3"/>
        <v>0</v>
      </c>
      <c r="L47" s="45">
        <f>N('მომწოდებლის ფორმა'!$S18)*N('მომწოდებლის ფორმა'!$AB18)</f>
        <v>0</v>
      </c>
      <c r="M47" s="45">
        <f t="shared" si="4"/>
        <v>0</v>
      </c>
      <c r="N47" s="45">
        <f>M47*'ფასი კლინიკებით'!$B$32</f>
        <v>0</v>
      </c>
    </row>
    <row r="48" spans="1:14" x14ac:dyDescent="0.3">
      <c r="A48" s="42" t="str">
        <f>'მომწოდებლის ფორმა'!A19</f>
        <v>დაბალი სიმკვრივის ლიპოპროტეინ ქოლესტეროლი LDL-C G1</v>
      </c>
      <c r="B48" s="46">
        <f>IF(OR('მომწოდებლის ფორმა'!$R19="",N('მომწოდებლის ფორმა'!$T19)=0,COUNTIF('მომწოდებლის ფორმა'!$R$4:$R19,'მომწოდებლის ფორმა'!$R19)&gt;1,SUMIF('მომწოდებლის ფორმა'!$R$4:$R$27,'მომწოდებლის ფორმა'!$R19,'მომწოდებლის ფორმა'!B$4:B$27)&lt;=0),0,30/'მომწოდებლის ფორმა'!$T19)</f>
        <v>0</v>
      </c>
      <c r="C48" s="46">
        <f>IF(OR('მომწოდებლის ფორმა'!$R19="",N('მომწოდებლის ფორმა'!$T19)=0,COUNTIF('მომწოდებლის ფორმა'!$R$4:$R19,'მომწოდებლის ფორმა'!$R19)&gt;1,SUMIF('მომწოდებლის ფორმა'!$R$4:$R$27,'მომწოდებლის ფორმა'!$R19,'მომწოდებლის ფორმა'!C$4:C$27)&lt;=0),0,30/'მომწოდებლის ფორმა'!$T19)</f>
        <v>0</v>
      </c>
      <c r="D48" s="46">
        <f>IF(OR('მომწოდებლის ფორმა'!$R19="",N('მომწოდებლის ფორმა'!$T19)=0,COUNTIF('მომწოდებლის ფორმა'!$R$4:$R19,'მომწოდებლის ფორმა'!$R19)&gt;1,SUMIF('მომწოდებლის ფორმა'!$R$4:$R$27,'მომწოდებლის ფორმა'!$R19,'მომწოდებლის ფორმა'!D$4:D$27)&lt;=0),0,30/'მომწოდებლის ფორმა'!$T19)</f>
        <v>0</v>
      </c>
      <c r="E48" s="46">
        <f>IF(OR('მომწოდებლის ფორმა'!$R19="",N('მომწოდებლის ფორმა'!$T19)=0,COUNTIF('მომწოდებლის ფორმა'!$R$4:$R19,'მომწოდებლის ფორმა'!$R19)&gt;1,SUMIF('მომწოდებლის ფორმა'!$R$4:$R$27,'მომწოდებლის ფორმა'!$R19,'მომწოდებლის ფორმა'!E$4:E$27)&lt;=0),0,30/'მომწოდებლის ფორმა'!$T19)</f>
        <v>0</v>
      </c>
      <c r="F48" s="46">
        <f>IF(OR('მომწოდებლის ფორმა'!$R19="",N('მომწოდებლის ფორმა'!$T19)=0,COUNTIF('მომწოდებლის ფორმა'!$R$4:$R19,'მომწოდებლის ფორმა'!$R19)&gt;1,SUMIF('მომწოდებლის ფორმა'!$R$4:$R$27,'მომწოდებლის ფორმა'!$R19,'მომწოდებლის ფორმა'!F$4:F$27)&lt;=0),0,30/'მომწოდებლის ფორმა'!$T19)</f>
        <v>0</v>
      </c>
      <c r="G48" s="46">
        <f>IF(OR('მომწოდებლის ფორმა'!$R19="",N('მომწოდებლის ფორმა'!$T19)=0,COUNTIF('მომწოდებლის ფორმა'!$R$4:$R19,'მომწოდებლის ფორმა'!$R19)&gt;1,SUMIF('მომწოდებლის ფორმა'!$R$4:$R$27,'მომწოდებლის ფორმა'!$R19,'მომწოდებლის ფორმა'!G$4:G$27)&lt;=0),0,30/'მომწოდებლის ფორმა'!$T19)</f>
        <v>0</v>
      </c>
      <c r="H48" s="46">
        <f>IF(OR('მომწოდებლის ფორმა'!$R19="",N('მომწოდებლის ფორმა'!$T19)=0,COUNTIF('მომწოდებლის ფორმა'!$R$4:$R19,'მომწოდებლის ფორმა'!$R19)&gt;1,SUMIF('მომწოდებლის ფორმა'!$R$4:$R$27,'მომწოდებლის ფორმა'!$R19,'მომწოდებლის ფორმა'!H$4:H$27)&lt;=0),0,30/'მომწოდებლის ფორმა'!$T19)</f>
        <v>0</v>
      </c>
      <c r="I48" s="46">
        <f>IF(OR('მომწოდებლის ფორმა'!$R19="",N('მომწოდებლის ფორმა'!$T19)=0,COUNTIF('მომწოდებლის ფორმა'!$R$4:$R19,'მომწოდებლის ფორმა'!$R19)&gt;1,SUMIF('მომწოდებლის ფორმა'!$R$4:$R$27,'მომწოდებლის ფორმა'!$R19,'მომწოდებლის ფორმა'!I$4:I$27)&lt;=0),0,30/'მომწოდებლის ფორმა'!$T19)</f>
        <v>0</v>
      </c>
      <c r="J48" s="46">
        <f t="shared" si="2"/>
        <v>0</v>
      </c>
      <c r="K48" s="44">
        <f t="shared" si="3"/>
        <v>0</v>
      </c>
      <c r="L48" s="45">
        <f>N('მომწოდებლის ფორმა'!$S19)*N('მომწოდებლის ფორმა'!$AB19)</f>
        <v>0</v>
      </c>
      <c r="M48" s="45">
        <f t="shared" si="4"/>
        <v>0</v>
      </c>
      <c r="N48" s="45">
        <f>M48*'ფასი კლინიკებით'!$B$32</f>
        <v>0</v>
      </c>
    </row>
    <row r="49" spans="1:14" x14ac:dyDescent="0.3">
      <c r="A49" s="42" t="str">
        <f>'მომწოდებლის ფორმა'!A20</f>
        <v>ტრიგლიცერიდი TG G1</v>
      </c>
      <c r="B49" s="46">
        <f>IF(OR('მომწოდებლის ფორმა'!$R20="",N('მომწოდებლის ფორმა'!$T20)=0,COUNTIF('მომწოდებლის ფორმა'!$R$4:$R20,'მომწოდებლის ფორმა'!$R20)&gt;1,SUMIF('მომწოდებლის ფორმა'!$R$4:$R$27,'მომწოდებლის ფორმა'!$R20,'მომწოდებლის ფორმა'!B$4:B$27)&lt;=0),0,30/'მომწოდებლის ფორმა'!$T20)</f>
        <v>0</v>
      </c>
      <c r="C49" s="46">
        <f>IF(OR('მომწოდებლის ფორმა'!$R20="",N('მომწოდებლის ფორმა'!$T20)=0,COUNTIF('მომწოდებლის ფორმა'!$R$4:$R20,'მომწოდებლის ფორმა'!$R20)&gt;1,SUMIF('მომწოდებლის ფორმა'!$R$4:$R$27,'მომწოდებლის ფორმა'!$R20,'მომწოდებლის ფორმა'!C$4:C$27)&lt;=0),0,30/'მომწოდებლის ფორმა'!$T20)</f>
        <v>0</v>
      </c>
      <c r="D49" s="46">
        <f>IF(OR('მომწოდებლის ფორმა'!$R20="",N('მომწოდებლის ფორმა'!$T20)=0,COUNTIF('მომწოდებლის ფორმა'!$R$4:$R20,'მომწოდებლის ფორმა'!$R20)&gt;1,SUMIF('მომწოდებლის ფორმა'!$R$4:$R$27,'მომწოდებლის ფორმა'!$R20,'მომწოდებლის ფორმა'!D$4:D$27)&lt;=0),0,30/'მომწოდებლის ფორმა'!$T20)</f>
        <v>0</v>
      </c>
      <c r="E49" s="46">
        <f>IF(OR('მომწოდებლის ფორმა'!$R20="",N('მომწოდებლის ფორმა'!$T20)=0,COUNTIF('მომწოდებლის ფორმა'!$R$4:$R20,'მომწოდებლის ფორმა'!$R20)&gt;1,SUMIF('მომწოდებლის ფორმა'!$R$4:$R$27,'მომწოდებლის ფორმა'!$R20,'მომწოდებლის ფორმა'!E$4:E$27)&lt;=0),0,30/'მომწოდებლის ფორმა'!$T20)</f>
        <v>0</v>
      </c>
      <c r="F49" s="46">
        <f>IF(OR('მომწოდებლის ფორმა'!$R20="",N('მომწოდებლის ფორმა'!$T20)=0,COUNTIF('მომწოდებლის ფორმა'!$R$4:$R20,'მომწოდებლის ფორმა'!$R20)&gt;1,SUMIF('მომწოდებლის ფორმა'!$R$4:$R$27,'მომწოდებლის ფორმა'!$R20,'მომწოდებლის ფორმა'!F$4:F$27)&lt;=0),0,30/'მომწოდებლის ფორმა'!$T20)</f>
        <v>0</v>
      </c>
      <c r="G49" s="46">
        <f>IF(OR('მომწოდებლის ფორმა'!$R20="",N('მომწოდებლის ფორმა'!$T20)=0,COUNTIF('მომწოდებლის ფორმა'!$R$4:$R20,'მომწოდებლის ფორმა'!$R20)&gt;1,SUMIF('მომწოდებლის ფორმა'!$R$4:$R$27,'მომწოდებლის ფორმა'!$R20,'მომწოდებლის ფორმა'!G$4:G$27)&lt;=0),0,30/'მომწოდებლის ფორმა'!$T20)</f>
        <v>0</v>
      </c>
      <c r="H49" s="46">
        <f>IF(OR('მომწოდებლის ფორმა'!$R20="",N('მომწოდებლის ფორმა'!$T20)=0,COUNTIF('მომწოდებლის ფორმა'!$R$4:$R20,'მომწოდებლის ფორმა'!$R20)&gt;1,SUMIF('მომწოდებლის ფორმა'!$R$4:$R$27,'მომწოდებლის ფორმა'!$R20,'მომწოდებლის ფორმა'!H$4:H$27)&lt;=0),0,30/'მომწოდებლის ფორმა'!$T20)</f>
        <v>0</v>
      </c>
      <c r="I49" s="46">
        <f>IF(OR('მომწოდებლის ფორმა'!$R20="",N('მომწოდებლის ფორმა'!$T20)=0,COUNTIF('მომწოდებლის ფორმა'!$R$4:$R20,'მომწოდებლის ფორმა'!$R20)&gt;1,SUMIF('მომწოდებლის ფორმა'!$R$4:$R$27,'მომწოდებლის ფორმა'!$R20,'მომწოდებლის ფორმა'!I$4:I$27)&lt;=0),0,30/'მომწოდებლის ფორმა'!$T20)</f>
        <v>0</v>
      </c>
      <c r="J49" s="46">
        <f t="shared" si="2"/>
        <v>0</v>
      </c>
      <c r="K49" s="44">
        <f t="shared" si="3"/>
        <v>0</v>
      </c>
      <c r="L49" s="45">
        <f>N('მომწოდებლის ფორმა'!$S20)*N('მომწოდებლის ფორმა'!$AB20)</f>
        <v>0</v>
      </c>
      <c r="M49" s="45">
        <f t="shared" si="4"/>
        <v>0</v>
      </c>
      <c r="N49" s="45">
        <f>M49*'ფასი კლინიკებით'!$B$32</f>
        <v>0</v>
      </c>
    </row>
    <row r="50" spans="1:14" x14ac:dyDescent="0.3">
      <c r="A50" s="42" t="str">
        <f>'მომწოდებლის ფორმა'!A21</f>
        <v>პირდაპირი ბილირუბინი DBIL G1</v>
      </c>
      <c r="B50" s="46">
        <f>IF(OR('მომწოდებლის ფორმა'!$R21="",N('მომწოდებლის ფორმა'!$T21)=0,COUNTIF('მომწოდებლის ფორმა'!$R$4:$R21,'მომწოდებლის ფორმა'!$R21)&gt;1,SUMIF('მომწოდებლის ფორმა'!$R$4:$R$27,'მომწოდებლის ფორმა'!$R21,'მომწოდებლის ფორმა'!B$4:B$27)&lt;=0),0,30/'მომწოდებლის ფორმა'!$T21)</f>
        <v>0</v>
      </c>
      <c r="C50" s="46">
        <f>IF(OR('მომწოდებლის ფორმა'!$R21="",N('მომწოდებლის ფორმა'!$T21)=0,COUNTIF('მომწოდებლის ფორმა'!$R$4:$R21,'მომწოდებლის ფორმა'!$R21)&gt;1,SUMIF('მომწოდებლის ფორმა'!$R$4:$R$27,'მომწოდებლის ფორმა'!$R21,'მომწოდებლის ფორმა'!C$4:C$27)&lt;=0),0,30/'მომწოდებლის ფორმა'!$T21)</f>
        <v>0</v>
      </c>
      <c r="D50" s="46">
        <f>IF(OR('მომწოდებლის ფორმა'!$R21="",N('მომწოდებლის ფორმა'!$T21)=0,COUNTIF('მომწოდებლის ფორმა'!$R$4:$R21,'მომწოდებლის ფორმა'!$R21)&gt;1,SUMIF('მომწოდებლის ფორმა'!$R$4:$R$27,'მომწოდებლის ფორმა'!$R21,'მომწოდებლის ფორმა'!D$4:D$27)&lt;=0),0,30/'მომწოდებლის ფორმა'!$T21)</f>
        <v>0</v>
      </c>
      <c r="E50" s="46">
        <f>IF(OR('მომწოდებლის ფორმა'!$R21="",N('მომწოდებლის ფორმა'!$T21)=0,COUNTIF('მომწოდებლის ფორმა'!$R$4:$R21,'მომწოდებლის ფორმა'!$R21)&gt;1,SUMIF('მომწოდებლის ფორმა'!$R$4:$R$27,'მომწოდებლის ფორმა'!$R21,'მომწოდებლის ფორმა'!E$4:E$27)&lt;=0),0,30/'მომწოდებლის ფორმა'!$T21)</f>
        <v>0</v>
      </c>
      <c r="F50" s="46">
        <f>IF(OR('მომწოდებლის ფორმა'!$R21="",N('მომწოდებლის ფორმა'!$T21)=0,COUNTIF('მომწოდებლის ფორმა'!$R$4:$R21,'მომწოდებლის ფორმა'!$R21)&gt;1,SUMIF('მომწოდებლის ფორმა'!$R$4:$R$27,'მომწოდებლის ფორმა'!$R21,'მომწოდებლის ფორმა'!F$4:F$27)&lt;=0),0,30/'მომწოდებლის ფორმა'!$T21)</f>
        <v>0</v>
      </c>
      <c r="G50" s="46">
        <f>IF(OR('მომწოდებლის ფორმა'!$R21="",N('მომწოდებლის ფორმა'!$T21)=0,COUNTIF('მომწოდებლის ფორმა'!$R$4:$R21,'მომწოდებლის ფორმა'!$R21)&gt;1,SUMIF('მომწოდებლის ფორმა'!$R$4:$R$27,'მომწოდებლის ფორმა'!$R21,'მომწოდებლის ფორმა'!G$4:G$27)&lt;=0),0,30/'მომწოდებლის ფორმა'!$T21)</f>
        <v>0</v>
      </c>
      <c r="H50" s="46">
        <f>IF(OR('მომწოდებლის ფორმა'!$R21="",N('მომწოდებლის ფორმა'!$T21)=0,COUNTIF('მომწოდებლის ფორმა'!$R$4:$R21,'მომწოდებლის ფორმა'!$R21)&gt;1,SUMIF('მომწოდებლის ფორმა'!$R$4:$R$27,'მომწოდებლის ფორმა'!$R21,'მომწოდებლის ფორმა'!H$4:H$27)&lt;=0),0,30/'მომწოდებლის ფორმა'!$T21)</f>
        <v>0</v>
      </c>
      <c r="I50" s="46">
        <f>IF(OR('მომწოდებლის ფორმა'!$R21="",N('მომწოდებლის ფორმა'!$T21)=0,COUNTIF('მომწოდებლის ფორმა'!$R$4:$R21,'მომწოდებლის ფორმა'!$R21)&gt;1,SUMIF('მომწოდებლის ფორმა'!$R$4:$R$27,'მომწოდებლის ფორმა'!$R21,'მომწოდებლის ფორმა'!I$4:I$27)&lt;=0),0,30/'მომწოდებლის ფორმა'!$T21)</f>
        <v>0</v>
      </c>
      <c r="J50" s="46">
        <f t="shared" si="2"/>
        <v>0</v>
      </c>
      <c r="K50" s="44">
        <f t="shared" si="3"/>
        <v>0</v>
      </c>
      <c r="L50" s="45">
        <f>N('მომწოდებლის ფორმა'!$S21)*N('მომწოდებლის ფორმა'!$AB21)</f>
        <v>0</v>
      </c>
      <c r="M50" s="45">
        <f t="shared" si="4"/>
        <v>0</v>
      </c>
      <c r="N50" s="45">
        <f>M50*'ფასი კლინიკებით'!$B$32</f>
        <v>0</v>
      </c>
    </row>
    <row r="51" spans="1:14" x14ac:dyDescent="0.3">
      <c r="A51" s="42" t="str">
        <f>'მომწოდებლის ფორმა'!A22</f>
        <v>სრული ქოლესტეროლი TC G1</v>
      </c>
      <c r="B51" s="46">
        <f>IF(OR('მომწოდებლის ფორმა'!$R22="",N('მომწოდებლის ფორმა'!$T22)=0,COUNTIF('მომწოდებლის ფორმა'!$R$4:$R22,'მომწოდებლის ფორმა'!$R22)&gt;1,SUMIF('მომწოდებლის ფორმა'!$R$4:$R$27,'მომწოდებლის ფორმა'!$R22,'მომწოდებლის ფორმა'!B$4:B$27)&lt;=0),0,30/'მომწოდებლის ფორმა'!$T22)</f>
        <v>0</v>
      </c>
      <c r="C51" s="46">
        <f>IF(OR('მომწოდებლის ფორმა'!$R22="",N('მომწოდებლის ფორმა'!$T22)=0,COUNTIF('მომწოდებლის ფორმა'!$R$4:$R22,'მომწოდებლის ფორმა'!$R22)&gt;1,SUMIF('მომწოდებლის ფორმა'!$R$4:$R$27,'მომწოდებლის ფორმა'!$R22,'მომწოდებლის ფორმა'!C$4:C$27)&lt;=0),0,30/'მომწოდებლის ფორმა'!$T22)</f>
        <v>0</v>
      </c>
      <c r="D51" s="46">
        <f>IF(OR('მომწოდებლის ფორმა'!$R22="",N('მომწოდებლის ფორმა'!$T22)=0,COUNTIF('მომწოდებლის ფორმა'!$R$4:$R22,'მომწოდებლის ფორმა'!$R22)&gt;1,SUMIF('მომწოდებლის ფორმა'!$R$4:$R$27,'მომწოდებლის ფორმა'!$R22,'მომწოდებლის ფორმა'!D$4:D$27)&lt;=0),0,30/'მომწოდებლის ფორმა'!$T22)</f>
        <v>0</v>
      </c>
      <c r="E51" s="46">
        <f>IF(OR('მომწოდებლის ფორმა'!$R22="",N('მომწოდებლის ფორმა'!$T22)=0,COUNTIF('მომწოდებლის ფორმა'!$R$4:$R22,'მომწოდებლის ფორმა'!$R22)&gt;1,SUMIF('მომწოდებლის ფორმა'!$R$4:$R$27,'მომწოდებლის ფორმა'!$R22,'მომწოდებლის ფორმა'!E$4:E$27)&lt;=0),0,30/'მომწოდებლის ფორმა'!$T22)</f>
        <v>0</v>
      </c>
      <c r="F51" s="46">
        <f>IF(OR('მომწოდებლის ფორმა'!$R22="",N('მომწოდებლის ფორმა'!$T22)=0,COUNTIF('მომწოდებლის ფორმა'!$R$4:$R22,'მომწოდებლის ფორმა'!$R22)&gt;1,SUMIF('მომწოდებლის ფორმა'!$R$4:$R$27,'მომწოდებლის ფორმა'!$R22,'მომწოდებლის ფორმა'!F$4:F$27)&lt;=0),0,30/'მომწოდებლის ფორმა'!$T22)</f>
        <v>0</v>
      </c>
      <c r="G51" s="46">
        <f>IF(OR('მომწოდებლის ფორმა'!$R22="",N('მომწოდებლის ფორმა'!$T22)=0,COUNTIF('მომწოდებლის ფორმა'!$R$4:$R22,'მომწოდებლის ფორმა'!$R22)&gt;1,SUMIF('მომწოდებლის ფორმა'!$R$4:$R$27,'მომწოდებლის ფორმა'!$R22,'მომწოდებლის ფორმა'!G$4:G$27)&lt;=0),0,30/'მომწოდებლის ფორმა'!$T22)</f>
        <v>0</v>
      </c>
      <c r="H51" s="46">
        <f>IF(OR('მომწოდებლის ფორმა'!$R22="",N('მომწოდებლის ფორმა'!$T22)=0,COUNTIF('მომწოდებლის ფორმა'!$R$4:$R22,'მომწოდებლის ფორმა'!$R22)&gt;1,SUMIF('მომწოდებლის ფორმა'!$R$4:$R$27,'მომწოდებლის ფორმა'!$R22,'მომწოდებლის ფორმა'!H$4:H$27)&lt;=0),0,30/'მომწოდებლის ფორმა'!$T22)</f>
        <v>0</v>
      </c>
      <c r="I51" s="46">
        <f>IF(OR('მომწოდებლის ფორმა'!$R22="",N('მომწოდებლის ფორმა'!$T22)=0,COUNTIF('მომწოდებლის ფორმა'!$R$4:$R22,'მომწოდებლის ფორმა'!$R22)&gt;1,SUMIF('მომწოდებლის ფორმა'!$R$4:$R$27,'მომწოდებლის ფორმა'!$R22,'მომწოდებლის ფორმა'!I$4:I$27)&lt;=0),0,30/'მომწოდებლის ფორმა'!$T22)</f>
        <v>0</v>
      </c>
      <c r="J51" s="46">
        <f t="shared" si="2"/>
        <v>0</v>
      </c>
      <c r="K51" s="44">
        <f t="shared" si="3"/>
        <v>0</v>
      </c>
      <c r="L51" s="45">
        <f>N('მომწოდებლის ფორმა'!$S22)*N('მომწოდებლის ფორმა'!$AB22)</f>
        <v>0</v>
      </c>
      <c r="M51" s="45">
        <f t="shared" si="4"/>
        <v>0</v>
      </c>
      <c r="N51" s="45">
        <f>M51*'ფასი კლინიკებით'!$B$32</f>
        <v>0</v>
      </c>
    </row>
    <row r="52" spans="1:14" x14ac:dyDescent="0.3">
      <c r="A52" s="42" t="str">
        <f>'მომწოდებლის ფორმა'!A23</f>
        <v>მაგნიუმი Mg</v>
      </c>
      <c r="B52" s="46">
        <f>IF(OR('მომწოდებლის ფორმა'!$R23="",N('მომწოდებლის ფორმა'!$T23)=0,COUNTIF('მომწოდებლის ფორმა'!$R$4:$R23,'მომწოდებლის ფორმა'!$R23)&gt;1,SUMIF('მომწოდებლის ფორმა'!$R$4:$R$27,'მომწოდებლის ფორმა'!$R23,'მომწოდებლის ფორმა'!B$4:B$27)&lt;=0),0,30/'მომწოდებლის ფორმა'!$T23)</f>
        <v>0</v>
      </c>
      <c r="C52" s="46">
        <f>IF(OR('მომწოდებლის ფორმა'!$R23="",N('მომწოდებლის ფორმა'!$T23)=0,COUNTIF('მომწოდებლის ფორმა'!$R$4:$R23,'მომწოდებლის ფორმა'!$R23)&gt;1,SUMIF('მომწოდებლის ფორმა'!$R$4:$R$27,'მომწოდებლის ფორმა'!$R23,'მომწოდებლის ფორმა'!C$4:C$27)&lt;=0),0,30/'მომწოდებლის ფორმა'!$T23)</f>
        <v>0</v>
      </c>
      <c r="D52" s="46">
        <f>IF(OR('მომწოდებლის ფორმა'!$R23="",N('მომწოდებლის ფორმა'!$T23)=0,COUNTIF('მომწოდებლის ფორმა'!$R$4:$R23,'მომწოდებლის ფორმა'!$R23)&gt;1,SUMIF('მომწოდებლის ფორმა'!$R$4:$R$27,'მომწოდებლის ფორმა'!$R23,'მომწოდებლის ფორმა'!D$4:D$27)&lt;=0),0,30/'მომწოდებლის ფორმა'!$T23)</f>
        <v>0</v>
      </c>
      <c r="E52" s="46">
        <f>IF(OR('მომწოდებლის ფორმა'!$R23="",N('მომწოდებლის ფორმა'!$T23)=0,COUNTIF('მომწოდებლის ფორმა'!$R$4:$R23,'მომწოდებლის ფორმა'!$R23)&gt;1,SUMIF('მომწოდებლის ფორმა'!$R$4:$R$27,'მომწოდებლის ფორმა'!$R23,'მომწოდებლის ფორმა'!E$4:E$27)&lt;=0),0,30/'მომწოდებლის ფორმა'!$T23)</f>
        <v>0</v>
      </c>
      <c r="F52" s="46">
        <f>IF(OR('მომწოდებლის ფორმა'!$R23="",N('მომწოდებლის ფორმა'!$T23)=0,COUNTIF('მომწოდებლის ფორმა'!$R$4:$R23,'მომწოდებლის ფორმა'!$R23)&gt;1,SUMIF('მომწოდებლის ფორმა'!$R$4:$R$27,'მომწოდებლის ფორმა'!$R23,'მომწოდებლის ფორმა'!F$4:F$27)&lt;=0),0,30/'მომწოდებლის ფორმა'!$T23)</f>
        <v>0</v>
      </c>
      <c r="G52" s="46">
        <f>IF(OR('მომწოდებლის ფორმა'!$R23="",N('მომწოდებლის ფორმა'!$T23)=0,COUNTIF('მომწოდებლის ფორმა'!$R$4:$R23,'მომწოდებლის ფორმა'!$R23)&gt;1,SUMIF('მომწოდებლის ფორმა'!$R$4:$R$27,'მომწოდებლის ფორმა'!$R23,'მომწოდებლის ფორმა'!G$4:G$27)&lt;=0),0,30/'მომწოდებლის ფორმა'!$T23)</f>
        <v>0</v>
      </c>
      <c r="H52" s="46">
        <f>IF(OR('მომწოდებლის ფორმა'!$R23="",N('მომწოდებლის ფორმა'!$T23)=0,COUNTIF('მომწოდებლის ფორმა'!$R$4:$R23,'მომწოდებლის ფორმა'!$R23)&gt;1,SUMIF('მომწოდებლის ფორმა'!$R$4:$R$27,'მომწოდებლის ფორმა'!$R23,'მომწოდებლის ფორმა'!H$4:H$27)&lt;=0),0,30/'მომწოდებლის ფორმა'!$T23)</f>
        <v>0</v>
      </c>
      <c r="I52" s="46">
        <f>IF(OR('მომწოდებლის ფორმა'!$R23="",N('მომწოდებლის ფორმა'!$T23)=0,COUNTIF('მომწოდებლის ფორმა'!$R$4:$R23,'მომწოდებლის ფორმა'!$R23)&gt;1,SUMIF('მომწოდებლის ფორმა'!$R$4:$R$27,'მომწოდებლის ფორმა'!$R23,'მომწოდებლის ფორმა'!I$4:I$27)&lt;=0),0,30/'მომწოდებლის ფორმა'!$T23)</f>
        <v>0</v>
      </c>
      <c r="J52" s="46">
        <f t="shared" si="2"/>
        <v>0</v>
      </c>
      <c r="K52" s="44">
        <f t="shared" si="3"/>
        <v>0</v>
      </c>
      <c r="L52" s="45">
        <f>N('მომწოდებლის ფორმა'!$S23)*N('მომწოდებლის ფორმა'!$AB23)</f>
        <v>0</v>
      </c>
      <c r="M52" s="45">
        <f t="shared" si="4"/>
        <v>0</v>
      </c>
      <c r="N52" s="45">
        <f>M52*'ფასი კლინიკებით'!$B$32</f>
        <v>0</v>
      </c>
    </row>
    <row r="53" spans="1:14" x14ac:dyDescent="0.3">
      <c r="A53" s="42" t="str">
        <f>'მომწოდებლის ფორმა'!A24</f>
        <v>კალციუმი Ca G1</v>
      </c>
      <c r="B53" s="46">
        <f>IF(OR('მომწოდებლის ფორმა'!$R24="",N('მომწოდებლის ფორმა'!$T24)=0,COUNTIF('მომწოდებლის ფორმა'!$R$4:$R24,'მომწოდებლის ფორმა'!$R24)&gt;1,SUMIF('მომწოდებლის ფორმა'!$R$4:$R$27,'მომწოდებლის ფორმა'!$R24,'მომწოდებლის ფორმა'!B$4:B$27)&lt;=0),0,30/'მომწოდებლის ფორმა'!$T24)</f>
        <v>0</v>
      </c>
      <c r="C53" s="46">
        <f>IF(OR('მომწოდებლის ფორმა'!$R24="",N('მომწოდებლის ფორმა'!$T24)=0,COUNTIF('მომწოდებლის ფორმა'!$R$4:$R24,'მომწოდებლის ფორმა'!$R24)&gt;1,SUMIF('მომწოდებლის ფორმა'!$R$4:$R$27,'მომწოდებლის ფორმა'!$R24,'მომწოდებლის ფორმა'!C$4:C$27)&lt;=0),0,30/'მომწოდებლის ფორმა'!$T24)</f>
        <v>0</v>
      </c>
      <c r="D53" s="46">
        <f>IF(OR('მომწოდებლის ფორმა'!$R24="",N('მომწოდებლის ფორმა'!$T24)=0,COUNTIF('მომწოდებლის ფორმა'!$R$4:$R24,'მომწოდებლის ფორმა'!$R24)&gt;1,SUMIF('მომწოდებლის ფორმა'!$R$4:$R$27,'მომწოდებლის ფორმა'!$R24,'მომწოდებლის ფორმა'!D$4:D$27)&lt;=0),0,30/'მომწოდებლის ფორმა'!$T24)</f>
        <v>0</v>
      </c>
      <c r="E53" s="46">
        <f>IF(OR('მომწოდებლის ფორმა'!$R24="",N('მომწოდებლის ფორმა'!$T24)=0,COUNTIF('მომწოდებლის ფორმა'!$R$4:$R24,'მომწოდებლის ფორმა'!$R24)&gt;1,SUMIF('მომწოდებლის ფორმა'!$R$4:$R$27,'მომწოდებლის ფორმა'!$R24,'მომწოდებლის ფორმა'!E$4:E$27)&lt;=0),0,30/'მომწოდებლის ფორმა'!$T24)</f>
        <v>0</v>
      </c>
      <c r="F53" s="46">
        <f>IF(OR('მომწოდებლის ფორმა'!$R24="",N('მომწოდებლის ფორმა'!$T24)=0,COUNTIF('მომწოდებლის ფორმა'!$R$4:$R24,'მომწოდებლის ფორმა'!$R24)&gt;1,SUMIF('მომწოდებლის ფორმა'!$R$4:$R$27,'მომწოდებლის ფორმა'!$R24,'მომწოდებლის ფორმა'!F$4:F$27)&lt;=0),0,30/'მომწოდებლის ფორმა'!$T24)</f>
        <v>0</v>
      </c>
      <c r="G53" s="46">
        <f>IF(OR('მომწოდებლის ფორმა'!$R24="",N('მომწოდებლის ფორმა'!$T24)=0,COUNTIF('მომწოდებლის ფორმა'!$R$4:$R24,'მომწოდებლის ფორმა'!$R24)&gt;1,SUMIF('მომწოდებლის ფორმა'!$R$4:$R$27,'მომწოდებლის ფორმა'!$R24,'მომწოდებლის ფორმა'!G$4:G$27)&lt;=0),0,30/'მომწოდებლის ფორმა'!$T24)</f>
        <v>0</v>
      </c>
      <c r="H53" s="46">
        <f>IF(OR('მომწოდებლის ფორმა'!$R24="",N('მომწოდებლის ფორმა'!$T24)=0,COUNTIF('მომწოდებლის ფორმა'!$R$4:$R24,'მომწოდებლის ფორმა'!$R24)&gt;1,SUMIF('მომწოდებლის ფორმა'!$R$4:$R$27,'მომწოდებლის ფორმა'!$R24,'მომწოდებლის ფორმა'!H$4:H$27)&lt;=0),0,30/'მომწოდებლის ფორმა'!$T24)</f>
        <v>0</v>
      </c>
      <c r="I53" s="46">
        <f>IF(OR('მომწოდებლის ფორმა'!$R24="",N('მომწოდებლის ფორმა'!$T24)=0,COUNTIF('მომწოდებლის ფორმა'!$R$4:$R24,'მომწოდებლის ფორმა'!$R24)&gt;1,SUMIF('მომწოდებლის ფორმა'!$R$4:$R$27,'მომწოდებლის ფორმა'!$R24,'მომწოდებლის ფორმა'!I$4:I$27)&lt;=0),0,30/'მომწოდებლის ფორმა'!$T24)</f>
        <v>0</v>
      </c>
      <c r="J53" s="46">
        <f t="shared" si="2"/>
        <v>0</v>
      </c>
      <c r="K53" s="44">
        <f t="shared" si="3"/>
        <v>0</v>
      </c>
      <c r="L53" s="45">
        <f>N('მომწოდებლის ფორმა'!$S24)*N('მომწოდებლის ფორმა'!$AB24)</f>
        <v>0</v>
      </c>
      <c r="M53" s="45">
        <f t="shared" si="4"/>
        <v>0</v>
      </c>
      <c r="N53" s="45">
        <f>M53*'ფასი კლინიკებით'!$B$32</f>
        <v>0</v>
      </c>
    </row>
    <row r="54" spans="1:14" x14ac:dyDescent="0.3">
      <c r="A54" s="42" t="str">
        <f>'მომწოდებლის ფორმა'!A25</f>
        <v>არაორგანული ფოსფორი PHOS G1</v>
      </c>
      <c r="B54" s="46">
        <f>IF(OR('მომწოდებლის ფორმა'!$R25="",N('მომწოდებლის ფორმა'!$T25)=0,COUNTIF('მომწოდებლის ფორმა'!$R$4:$R25,'მომწოდებლის ფორმა'!$R25)&gt;1,SUMIF('მომწოდებლის ფორმა'!$R$4:$R$27,'მომწოდებლის ფორმა'!$R25,'მომწოდებლის ფორმა'!B$4:B$27)&lt;=0),0,30/'მომწოდებლის ფორმა'!$T25)</f>
        <v>0</v>
      </c>
      <c r="C54" s="46">
        <f>IF(OR('მომწოდებლის ფორმა'!$R25="",N('მომწოდებლის ფორმა'!$T25)=0,COUNTIF('მომწოდებლის ფორმა'!$R$4:$R25,'მომწოდებლის ფორმა'!$R25)&gt;1,SUMIF('მომწოდებლის ფორმა'!$R$4:$R$27,'მომწოდებლის ფორმა'!$R25,'მომწოდებლის ფორმა'!C$4:C$27)&lt;=0),0,30/'მომწოდებლის ფორმა'!$T25)</f>
        <v>0</v>
      </c>
      <c r="D54" s="46">
        <f>IF(OR('მომწოდებლის ფორმა'!$R25="",N('მომწოდებლის ფორმა'!$T25)=0,COUNTIF('მომწოდებლის ფორმა'!$R$4:$R25,'მომწოდებლის ფორმა'!$R25)&gt;1,SUMIF('მომწოდებლის ფორმა'!$R$4:$R$27,'მომწოდებლის ფორმა'!$R25,'მომწოდებლის ფორმა'!D$4:D$27)&lt;=0),0,30/'მომწოდებლის ფორმა'!$T25)</f>
        <v>0</v>
      </c>
      <c r="E54" s="46">
        <f>IF(OR('მომწოდებლის ფორმა'!$R25="",N('მომწოდებლის ფორმა'!$T25)=0,COUNTIF('მომწოდებლის ფორმა'!$R$4:$R25,'მომწოდებლის ფორმა'!$R25)&gt;1,SUMIF('მომწოდებლის ფორმა'!$R$4:$R$27,'მომწოდებლის ფორმა'!$R25,'მომწოდებლის ფორმა'!E$4:E$27)&lt;=0),0,30/'მომწოდებლის ფორმა'!$T25)</f>
        <v>0</v>
      </c>
      <c r="F54" s="46">
        <f>IF(OR('მომწოდებლის ფორმა'!$R25="",N('მომწოდებლის ფორმა'!$T25)=0,COUNTIF('მომწოდებლის ფორმა'!$R$4:$R25,'მომწოდებლის ფორმა'!$R25)&gt;1,SUMIF('მომწოდებლის ფორმა'!$R$4:$R$27,'მომწოდებლის ფორმა'!$R25,'მომწოდებლის ფორმა'!F$4:F$27)&lt;=0),0,30/'მომწოდებლის ფორმა'!$T25)</f>
        <v>0</v>
      </c>
      <c r="G54" s="46">
        <f>IF(OR('მომწოდებლის ფორმა'!$R25="",N('მომწოდებლის ფორმა'!$T25)=0,COUNTIF('მომწოდებლის ფორმა'!$R$4:$R25,'მომწოდებლის ფორმა'!$R25)&gt;1,SUMIF('მომწოდებლის ფორმა'!$R$4:$R$27,'მომწოდებლის ფორმა'!$R25,'მომწოდებლის ფორმა'!G$4:G$27)&lt;=0),0,30/'მომწოდებლის ფორმა'!$T25)</f>
        <v>0</v>
      </c>
      <c r="H54" s="46">
        <f>IF(OR('მომწოდებლის ფორმა'!$R25="",N('მომწოდებლის ფორმა'!$T25)=0,COUNTIF('მომწოდებლის ფორმა'!$R$4:$R25,'მომწოდებლის ფორმა'!$R25)&gt;1,SUMIF('მომწოდებლის ფორმა'!$R$4:$R$27,'მომწოდებლის ფორმა'!$R25,'მომწოდებლის ფორმა'!H$4:H$27)&lt;=0),0,30/'მომწოდებლის ფორმა'!$T25)</f>
        <v>0</v>
      </c>
      <c r="I54" s="46">
        <f>IF(OR('მომწოდებლის ფორმა'!$R25="",N('მომწოდებლის ფორმა'!$T25)=0,COUNTIF('მომწოდებლის ფორმა'!$R$4:$R25,'მომწოდებლის ფორმა'!$R25)&gt;1,SUMIF('მომწოდებლის ფორმა'!$R$4:$R$27,'მომწოდებლის ფორმა'!$R25,'მომწოდებლის ფორმა'!I$4:I$27)&lt;=0),0,30/'მომწოდებლის ფორმა'!$T25)</f>
        <v>0</v>
      </c>
      <c r="J54" s="46">
        <f t="shared" si="2"/>
        <v>0</v>
      </c>
      <c r="K54" s="44">
        <f t="shared" si="3"/>
        <v>0</v>
      </c>
      <c r="L54" s="45">
        <f>N('მომწოდებლის ფორმა'!$S25)*N('მომწოდებლის ფორმა'!$AB25)</f>
        <v>0</v>
      </c>
      <c r="M54" s="45">
        <f t="shared" si="4"/>
        <v>0</v>
      </c>
      <c r="N54" s="45">
        <f>M54*'ფასი კლინიკებით'!$B$32</f>
        <v>0</v>
      </c>
    </row>
    <row r="55" spans="1:14" x14ac:dyDescent="0.3">
      <c r="A55" s="42" t="str">
        <f>'მომწოდებლის ფორმა'!A26</f>
        <v>რევმატოიდული ფაქტორი RF</v>
      </c>
      <c r="B55" s="46">
        <f>IF(OR('მომწოდებლის ფორმა'!$R26="",N('მომწოდებლის ფორმა'!$T26)=0,COUNTIF('მომწოდებლის ფორმა'!$R$4:$R26,'მომწოდებლის ფორმა'!$R26)&gt;1,SUMIF('მომწოდებლის ფორმა'!$R$4:$R$27,'მომწოდებლის ფორმა'!$R26,'მომწოდებლის ფორმა'!B$4:B$27)&lt;=0),0,30/'მომწოდებლის ფორმა'!$T26)</f>
        <v>0</v>
      </c>
      <c r="C55" s="46">
        <f>IF(OR('მომწოდებლის ფორმა'!$R26="",N('მომწოდებლის ფორმა'!$T26)=0,COUNTIF('მომწოდებლის ფორმა'!$R$4:$R26,'მომწოდებლის ფორმა'!$R26)&gt;1,SUMIF('მომწოდებლის ფორმა'!$R$4:$R$27,'მომწოდებლის ფორმა'!$R26,'მომწოდებლის ფორმა'!C$4:C$27)&lt;=0),0,30/'მომწოდებლის ფორმა'!$T26)</f>
        <v>0</v>
      </c>
      <c r="D55" s="46">
        <f>IF(OR('მომწოდებლის ფორმა'!$R26="",N('მომწოდებლის ფორმა'!$T26)=0,COUNTIF('მომწოდებლის ფორმა'!$R$4:$R26,'მომწოდებლის ფორმა'!$R26)&gt;1,SUMIF('მომწოდებლის ფორმა'!$R$4:$R$27,'მომწოდებლის ფორმა'!$R26,'მომწოდებლის ფორმა'!D$4:D$27)&lt;=0),0,30/'მომწოდებლის ფორმა'!$T26)</f>
        <v>0</v>
      </c>
      <c r="E55" s="46">
        <f>IF(OR('მომწოდებლის ფორმა'!$R26="",N('მომწოდებლის ფორმა'!$T26)=0,COUNTIF('მომწოდებლის ფორმა'!$R$4:$R26,'მომწოდებლის ფორმა'!$R26)&gt;1,SUMIF('მომწოდებლის ფორმა'!$R$4:$R$27,'მომწოდებლის ფორმა'!$R26,'მომწოდებლის ფორმა'!E$4:E$27)&lt;=0),0,30/'მომწოდებლის ფორმა'!$T26)</f>
        <v>0</v>
      </c>
      <c r="F55" s="46">
        <f>IF(OR('მომწოდებლის ფორმა'!$R26="",N('მომწოდებლის ფორმა'!$T26)=0,COUNTIF('მომწოდებლის ფორმა'!$R$4:$R26,'მომწოდებლის ფორმა'!$R26)&gt;1,SUMIF('მომწოდებლის ფორმა'!$R$4:$R$27,'მომწოდებლის ფორმა'!$R26,'მომწოდებლის ფორმა'!F$4:F$27)&lt;=0),0,30/'მომწოდებლის ფორმა'!$T26)</f>
        <v>0</v>
      </c>
      <c r="G55" s="46">
        <f>IF(OR('მომწოდებლის ფორმა'!$R26="",N('მომწოდებლის ფორმა'!$T26)=0,COUNTIF('მომწოდებლის ფორმა'!$R$4:$R26,'მომწოდებლის ფორმა'!$R26)&gt;1,SUMIF('მომწოდებლის ფორმა'!$R$4:$R$27,'მომწოდებლის ფორმა'!$R26,'მომწოდებლის ფორმა'!G$4:G$27)&lt;=0),0,30/'მომწოდებლის ფორმა'!$T26)</f>
        <v>0</v>
      </c>
      <c r="H55" s="46">
        <f>IF(OR('მომწოდებლის ფორმა'!$R26="",N('მომწოდებლის ფორმა'!$T26)=0,COUNTIF('მომწოდებლის ფორმა'!$R$4:$R26,'მომწოდებლის ფორმა'!$R26)&gt;1,SUMIF('მომწოდებლის ფორმა'!$R$4:$R$27,'მომწოდებლის ფორმა'!$R26,'მომწოდებლის ფორმა'!H$4:H$27)&lt;=0),0,30/'მომწოდებლის ფორმა'!$T26)</f>
        <v>0</v>
      </c>
      <c r="I55" s="46">
        <f>IF(OR('მომწოდებლის ფორმა'!$R26="",N('მომწოდებლის ფორმა'!$T26)=0,COUNTIF('მომწოდებლის ფორმა'!$R$4:$R26,'მომწოდებლის ფორმა'!$R26)&gt;1,SUMIF('მომწოდებლის ფორმა'!$R$4:$R$27,'მომწოდებლის ფორმა'!$R26,'მომწოდებლის ფორმა'!I$4:I$27)&lt;=0),0,30/'მომწოდებლის ფორმა'!$T26)</f>
        <v>0</v>
      </c>
      <c r="J55" s="46">
        <f t="shared" si="2"/>
        <v>0</v>
      </c>
      <c r="K55" s="44">
        <f t="shared" si="3"/>
        <v>0</v>
      </c>
      <c r="L55" s="45">
        <f>N('მომწოდებლის ფორმა'!$S26)*N('მომწოდებლის ფორმა'!$AB26)</f>
        <v>0</v>
      </c>
      <c r="M55" s="45">
        <f t="shared" si="4"/>
        <v>0</v>
      </c>
      <c r="N55" s="45">
        <f>M55*'ფასი კლინიკებით'!$B$32</f>
        <v>0</v>
      </c>
    </row>
    <row r="56" spans="1:14" x14ac:dyDescent="0.3">
      <c r="A56" s="42" t="str">
        <f>'მომწოდებლის ფორმა'!A27</f>
        <v>ანტისტრეპტოლიზინი - O  ASLO</v>
      </c>
      <c r="B56" s="46">
        <f>IF(OR('მომწოდებლის ფორმა'!$R27="",N('მომწოდებლის ფორმა'!$T27)=0,COUNTIF('მომწოდებლის ფორმა'!$R$4:$R27,'მომწოდებლის ფორმა'!$R27)&gt;1,SUMIF('მომწოდებლის ფორმა'!$R$4:$R$27,'მომწოდებლის ფორმა'!$R27,'მომწოდებლის ფორმა'!B$4:B$27)&lt;=0),0,30/'მომწოდებლის ფორმა'!$T27)</f>
        <v>0</v>
      </c>
      <c r="C56" s="46">
        <f>IF(OR('მომწოდებლის ფორმა'!$R27="",N('მომწოდებლის ფორმა'!$T27)=0,COUNTIF('მომწოდებლის ფორმა'!$R$4:$R27,'მომწოდებლის ფორმა'!$R27)&gt;1,SUMIF('მომწოდებლის ფორმა'!$R$4:$R$27,'მომწოდებლის ფორმა'!$R27,'მომწოდებლის ფორმა'!C$4:C$27)&lt;=0),0,30/'მომწოდებლის ფორმა'!$T27)</f>
        <v>0</v>
      </c>
      <c r="D56" s="46">
        <f>IF(OR('მომწოდებლის ფორმა'!$R27="",N('მომწოდებლის ფორმა'!$T27)=0,COUNTIF('მომწოდებლის ფორმა'!$R$4:$R27,'მომწოდებლის ფორმა'!$R27)&gt;1,SUMIF('მომწოდებლის ფორმა'!$R$4:$R$27,'მომწოდებლის ფორმა'!$R27,'მომწოდებლის ფორმა'!D$4:D$27)&lt;=0),0,30/'მომწოდებლის ფორმა'!$T27)</f>
        <v>0</v>
      </c>
      <c r="E56" s="46">
        <f>IF(OR('მომწოდებლის ფორმა'!$R27="",N('მომწოდებლის ფორმა'!$T27)=0,COUNTIF('მომწოდებლის ფორმა'!$R$4:$R27,'მომწოდებლის ფორმა'!$R27)&gt;1,SUMIF('მომწოდებლის ფორმა'!$R$4:$R$27,'მომწოდებლის ფორმა'!$R27,'მომწოდებლის ფორმა'!E$4:E$27)&lt;=0),0,30/'მომწოდებლის ფორმა'!$T27)</f>
        <v>0</v>
      </c>
      <c r="F56" s="46">
        <f>IF(OR('მომწოდებლის ფორმა'!$R27="",N('მომწოდებლის ფორმა'!$T27)=0,COUNTIF('მომწოდებლის ფორმა'!$R$4:$R27,'მომწოდებლის ფორმა'!$R27)&gt;1,SUMIF('მომწოდებლის ფორმა'!$R$4:$R$27,'მომწოდებლის ფორმა'!$R27,'მომწოდებლის ფორმა'!F$4:F$27)&lt;=0),0,30/'მომწოდებლის ფორმა'!$T27)</f>
        <v>0</v>
      </c>
      <c r="G56" s="46">
        <f>IF(OR('მომწოდებლის ფორმა'!$R27="",N('მომწოდებლის ფორმა'!$T27)=0,COUNTIF('მომწოდებლის ფორმა'!$R$4:$R27,'მომწოდებლის ფორმა'!$R27)&gt;1,SUMIF('მომწოდებლის ფორმა'!$R$4:$R$27,'მომწოდებლის ფორმა'!$R27,'მომწოდებლის ფორმა'!G$4:G$27)&lt;=0),0,30/'მომწოდებლის ფორმა'!$T27)</f>
        <v>0</v>
      </c>
      <c r="H56" s="46">
        <f>IF(OR('მომწოდებლის ფორმა'!$R27="",N('მომწოდებლის ფორმა'!$T27)=0,COUNTIF('მომწოდებლის ფორმა'!$R$4:$R27,'მომწოდებლის ფორმა'!$R27)&gt;1,SUMIF('მომწოდებლის ფორმა'!$R$4:$R$27,'მომწოდებლის ფორმა'!$R27,'მომწოდებლის ფორმა'!H$4:H$27)&lt;=0),0,30/'მომწოდებლის ფორმა'!$T27)</f>
        <v>0</v>
      </c>
      <c r="I56" s="46">
        <f>IF(OR('მომწოდებლის ფორმა'!$R27="",N('მომწოდებლის ფორმა'!$T27)=0,COUNTIF('მომწოდებლის ფორმა'!$R$4:$R27,'მომწოდებლის ფორმა'!$R27)&gt;1,SUMIF('მომწოდებლის ფორმა'!$R$4:$R$27,'მომწოდებლის ფორმა'!$R27,'მომწოდებლის ფორმა'!I$4:I$27)&lt;=0),0,30/'მომწოდებლის ფორმა'!$T27)</f>
        <v>0</v>
      </c>
      <c r="J56" s="46">
        <f t="shared" si="2"/>
        <v>0</v>
      </c>
      <c r="K56" s="44">
        <f t="shared" si="3"/>
        <v>0</v>
      </c>
      <c r="L56" s="45">
        <f>N('მომწოდებლის ფორმა'!$S27)*N('მომწოდებლის ფორმა'!$AB27)</f>
        <v>0</v>
      </c>
      <c r="M56" s="45">
        <f t="shared" si="4"/>
        <v>0</v>
      </c>
      <c r="N56" s="45">
        <f>M56*'ფასი კლინიკებით'!$B$32</f>
        <v>0</v>
      </c>
    </row>
    <row r="58" spans="1:14" x14ac:dyDescent="0.3">
      <c r="A58" s="39" t="s">
        <v>125</v>
      </c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</row>
    <row r="59" spans="1:14" ht="45" customHeight="1" x14ac:dyDescent="0.3">
      <c r="A59" s="41" t="s">
        <v>117</v>
      </c>
      <c r="B59" s="41" t="str">
        <f>'მომწოდებლის ფორმა'!B2</f>
        <v>ACH</v>
      </c>
      <c r="C59" s="41" t="str">
        <f>'მომწოდებლის ფორმა'!C2</f>
        <v>TLH</v>
      </c>
      <c r="D59" s="41" t="str">
        <f>'მომწოდებლის ფორმა'!D2</f>
        <v>XRH</v>
      </c>
      <c r="E59" s="41" t="str">
        <f>'მომწოდებლის ფორმა'!E2</f>
        <v>ZURH</v>
      </c>
      <c r="F59" s="41" t="str">
        <f>'მომწოდებლის ფორმა'!F2</f>
        <v>GRH</v>
      </c>
      <c r="G59" s="41" t="str">
        <f>'მომწოდებლის ფორმა'!G2</f>
        <v xml:space="preserve">KRH </v>
      </c>
      <c r="H59" s="41" t="str">
        <f>'მომწოდებლის ფორმა'!H2</f>
        <v>TCH</v>
      </c>
      <c r="I59" s="41" t="str">
        <f>'მომწოდებლის ფორმა'!I2</f>
        <v>QBH</v>
      </c>
      <c r="J59" s="41" t="s">
        <v>124</v>
      </c>
      <c r="K59" s="41" t="s">
        <v>119</v>
      </c>
      <c r="L59" s="41" t="s">
        <v>120</v>
      </c>
      <c r="M59" s="41" t="s">
        <v>121</v>
      </c>
      <c r="N59" s="41" t="s">
        <v>122</v>
      </c>
    </row>
    <row r="60" spans="1:14" x14ac:dyDescent="0.3">
      <c r="A60" s="42" t="str">
        <f>'მომწოდებლის ფორმა'!A4</f>
        <v>ლიპაზის განსაზღვრა  - Lipase</v>
      </c>
      <c r="B60" s="46">
        <f>IF(OR('მომწოდებლის ფორმა'!$U4="",N('მომწოდებლის ფორმა'!$W4)=0,COUNTIF('მომწოდებლის ფორმა'!$U$4:$U4,'მომწოდებლის ფორმა'!$U4)&gt;1,SUMIF('მომწოდებლის ფორმა'!$U$4:$U$27,'მომწოდებლის ფორმა'!$U4,'მომწოდებლის ფორმა'!B$4:B$27)&lt;=0),0,30/'მომწოდებლის ფორმა'!$W4)</f>
        <v>0</v>
      </c>
      <c r="C60" s="46">
        <f>IF(OR('მომწოდებლის ფორმა'!$U4="",N('მომწოდებლის ფორმა'!$W4)=0,COUNTIF('მომწოდებლის ფორმა'!$U$4:$U4,'მომწოდებლის ფორმა'!$U4)&gt;1,SUMIF('მომწოდებლის ფორმა'!$U$4:$U$27,'მომწოდებლის ფორმა'!$U4,'მომწოდებლის ფორმა'!C$4:C$27)&lt;=0),0,30/'მომწოდებლის ფორმა'!$W4)</f>
        <v>0</v>
      </c>
      <c r="D60" s="46">
        <f>IF(OR('მომწოდებლის ფორმა'!$U4="",N('მომწოდებლის ფორმა'!$W4)=0,COUNTIF('მომწოდებლის ფორმა'!$U$4:$U4,'მომწოდებლის ფორმა'!$U4)&gt;1,SUMIF('მომწოდებლის ფორმა'!$U$4:$U$27,'მომწოდებლის ფორმა'!$U4,'მომწოდებლის ფორმა'!D$4:D$27)&lt;=0),0,30/'მომწოდებლის ფორმა'!$W4)</f>
        <v>0</v>
      </c>
      <c r="E60" s="46">
        <f>IF(OR('მომწოდებლის ფორმა'!$U4="",N('მომწოდებლის ფორმა'!$W4)=0,COUNTIF('მომწოდებლის ფორმა'!$U$4:$U4,'მომწოდებლის ფორმა'!$U4)&gt;1,SUMIF('მომწოდებლის ფორმა'!$U$4:$U$27,'მომწოდებლის ფორმა'!$U4,'მომწოდებლის ფორმა'!E$4:E$27)&lt;=0),0,30/'მომწოდებლის ფორმა'!$W4)</f>
        <v>0</v>
      </c>
      <c r="F60" s="46">
        <f>IF(OR('მომწოდებლის ფორმა'!$U4="",N('მომწოდებლის ფორმა'!$W4)=0,COUNTIF('მომწოდებლის ფორმა'!$U$4:$U4,'მომწოდებლის ფორმა'!$U4)&gt;1,SUMIF('მომწოდებლის ფორმა'!$U$4:$U$27,'მომწოდებლის ფორმა'!$U4,'მომწოდებლის ფორმა'!F$4:F$27)&lt;=0),0,30/'მომწოდებლის ფორმა'!$W4)</f>
        <v>0</v>
      </c>
      <c r="G60" s="46">
        <f>IF(OR('მომწოდებლის ფორმა'!$U4="",N('მომწოდებლის ფორმა'!$W4)=0,COUNTIF('მომწოდებლის ფორმა'!$U$4:$U4,'მომწოდებლის ფორმა'!$U4)&gt;1,SUMIF('მომწოდებლის ფორმა'!$U$4:$U$27,'მომწოდებლის ფორმა'!$U4,'მომწოდებლის ფორმა'!G$4:G$27)&lt;=0),0,30/'მომწოდებლის ფორმა'!$W4)</f>
        <v>0</v>
      </c>
      <c r="H60" s="46">
        <f>IF(OR('მომწოდებლის ფორმა'!$U4="",N('მომწოდებლის ფორმა'!$W4)=0,COUNTIF('მომწოდებლის ფორმა'!$U$4:$U4,'მომწოდებლის ფორმა'!$U4)&gt;1,SUMIF('მომწოდებლის ფორმა'!$U$4:$U$27,'მომწოდებლის ფორმა'!$U4,'მომწოდებლის ფორმა'!H$4:H$27)&lt;=0),0,30/'მომწოდებლის ფორმა'!$W4)</f>
        <v>0</v>
      </c>
      <c r="I60" s="46">
        <f>IF(OR('მომწოდებლის ფორმა'!$U4="",N('მომწოდებლის ფორმა'!$W4)=0,COUNTIF('მომწოდებლის ფორმა'!$U$4:$U4,'მომწოდებლის ფორმა'!$U4)&gt;1,SUMIF('მომწოდებლის ფორმა'!$U$4:$U$27,'მომწოდებლის ფორმა'!$U4,'მომწოდებლის ფორმა'!I$4:I$27)&lt;=0),0,30/'მომწოდებლის ფორმა'!$W4)</f>
        <v>0</v>
      </c>
      <c r="J60" s="46">
        <f t="shared" ref="J60:J83" si="5">SUM(B60:I60)</f>
        <v>0</v>
      </c>
      <c r="K60" s="44">
        <f t="shared" ref="K60:K83" si="6">CEILING(J60,1)</f>
        <v>0</v>
      </c>
      <c r="L60" s="45">
        <f>N('მომწოდებლის ფორმა'!$V4)*N('მომწოდებლის ფორმა'!$AB4)</f>
        <v>0</v>
      </c>
      <c r="M60" s="45">
        <f t="shared" ref="M60:M83" si="7">K60*L60</f>
        <v>0</v>
      </c>
      <c r="N60" s="45">
        <f>M60*'ფასი კლინიკებით'!$B$32</f>
        <v>0</v>
      </c>
    </row>
    <row r="61" spans="1:14" x14ac:dyDescent="0.3">
      <c r="A61" s="42" t="str">
        <f>'მომწოდებლის ფორმა'!A5</f>
        <v>გლუკოზა GLU G1</v>
      </c>
      <c r="B61" s="46">
        <f>IF(OR('მომწოდებლის ფორმა'!$U5="",N('მომწოდებლის ფორმა'!$W5)=0,COUNTIF('მომწოდებლის ფორმა'!$U$4:$U5,'მომწოდებლის ფორმა'!$U5)&gt;1,SUMIF('მომწოდებლის ფორმა'!$U$4:$U$27,'მომწოდებლის ფორმა'!$U5,'მომწოდებლის ფორმა'!B$4:B$27)&lt;=0),0,30/'მომწოდებლის ფორმა'!$W5)</f>
        <v>0</v>
      </c>
      <c r="C61" s="46">
        <f>IF(OR('მომწოდებლის ფორმა'!$U5="",N('მომწოდებლის ფორმა'!$W5)=0,COUNTIF('მომწოდებლის ფორმა'!$U$4:$U5,'მომწოდებლის ფორმა'!$U5)&gt;1,SUMIF('მომწოდებლის ფორმა'!$U$4:$U$27,'მომწოდებლის ფორმა'!$U5,'მომწოდებლის ფორმა'!C$4:C$27)&lt;=0),0,30/'მომწოდებლის ფორმა'!$W5)</f>
        <v>0</v>
      </c>
      <c r="D61" s="46">
        <f>IF(OR('მომწოდებლის ფორმა'!$U5="",N('მომწოდებლის ფორმა'!$W5)=0,COUNTIF('მომწოდებლის ფორმა'!$U$4:$U5,'მომწოდებლის ფორმა'!$U5)&gt;1,SUMIF('მომწოდებლის ფორმა'!$U$4:$U$27,'მომწოდებლის ფორმა'!$U5,'მომწოდებლის ფორმა'!D$4:D$27)&lt;=0),0,30/'მომწოდებლის ფორმა'!$W5)</f>
        <v>0</v>
      </c>
      <c r="E61" s="46">
        <f>IF(OR('მომწოდებლის ფორმა'!$U5="",N('მომწოდებლის ფორმა'!$W5)=0,COUNTIF('მომწოდებლის ფორმა'!$U$4:$U5,'მომწოდებლის ფორმა'!$U5)&gt;1,SUMIF('მომწოდებლის ფორმა'!$U$4:$U$27,'მომწოდებლის ფორმა'!$U5,'მომწოდებლის ფორმა'!E$4:E$27)&lt;=0),0,30/'მომწოდებლის ფორმა'!$W5)</f>
        <v>0</v>
      </c>
      <c r="F61" s="46">
        <f>IF(OR('მომწოდებლის ფორმა'!$U5="",N('მომწოდებლის ფორმა'!$W5)=0,COUNTIF('მომწოდებლის ფორმა'!$U$4:$U5,'მომწოდებლის ფორმა'!$U5)&gt;1,SUMIF('მომწოდებლის ფორმა'!$U$4:$U$27,'მომწოდებლის ფორმა'!$U5,'მომწოდებლის ფორმა'!F$4:F$27)&lt;=0),0,30/'მომწოდებლის ფორმა'!$W5)</f>
        <v>0</v>
      </c>
      <c r="G61" s="46">
        <f>IF(OR('მომწოდებლის ფორმა'!$U5="",N('მომწოდებლის ფორმა'!$W5)=0,COUNTIF('მომწოდებლის ფორმა'!$U$4:$U5,'მომწოდებლის ფორმა'!$U5)&gt;1,SUMIF('მომწოდებლის ფორმა'!$U$4:$U$27,'მომწოდებლის ფორმა'!$U5,'მომწოდებლის ფორმა'!G$4:G$27)&lt;=0),0,30/'მომწოდებლის ფორმა'!$W5)</f>
        <v>0</v>
      </c>
      <c r="H61" s="46">
        <f>IF(OR('მომწოდებლის ფორმა'!$U5="",N('მომწოდებლის ფორმა'!$W5)=0,COUNTIF('მომწოდებლის ფორმა'!$U$4:$U5,'მომწოდებლის ფორმა'!$U5)&gt;1,SUMIF('მომწოდებლის ფორმა'!$U$4:$U$27,'მომწოდებლის ფორმა'!$U5,'მომწოდებლის ფორმა'!H$4:H$27)&lt;=0),0,30/'მომწოდებლის ფორმა'!$W5)</f>
        <v>0</v>
      </c>
      <c r="I61" s="46">
        <f>IF(OR('მომწოდებლის ფორმა'!$U5="",N('მომწოდებლის ფორმა'!$W5)=0,COUNTIF('მომწოდებლის ფორმა'!$U$4:$U5,'მომწოდებლის ფორმა'!$U5)&gt;1,SUMIF('მომწოდებლის ფორმა'!$U$4:$U$27,'მომწოდებლის ფორმა'!$U5,'მომწოდებლის ფორმა'!I$4:I$27)&lt;=0),0,30/'მომწოდებლის ფორმა'!$W5)</f>
        <v>0</v>
      </c>
      <c r="J61" s="46">
        <f t="shared" si="5"/>
        <v>0</v>
      </c>
      <c r="K61" s="44">
        <f t="shared" si="6"/>
        <v>0</v>
      </c>
      <c r="L61" s="45">
        <f>N('მომწოდებლის ფორმა'!$V5)*N('მომწოდებლის ფორმა'!$AB5)</f>
        <v>0</v>
      </c>
      <c r="M61" s="45">
        <f t="shared" si="7"/>
        <v>0</v>
      </c>
      <c r="N61" s="45">
        <f>M61*'ფასი კლინიკებით'!$B$32</f>
        <v>0</v>
      </c>
    </row>
    <row r="62" spans="1:14" x14ac:dyDescent="0.3">
      <c r="A62" s="42" t="str">
        <f>'მომწოდებლის ფორმა'!A6</f>
        <v>ალანინ ამინოტრანსფერაზა ALT G1</v>
      </c>
      <c r="B62" s="46">
        <f>IF(OR('მომწოდებლის ფორმა'!$U6="",N('მომწოდებლის ფორმა'!$W6)=0,COUNTIF('მომწოდებლის ფორმა'!$U$4:$U6,'მომწოდებლის ფორმა'!$U6)&gt;1,SUMIF('მომწოდებლის ფორმა'!$U$4:$U$27,'მომწოდებლის ფორმა'!$U6,'მომწოდებლის ფორმა'!B$4:B$27)&lt;=0),0,30/'მომწოდებლის ფორმა'!$W6)</f>
        <v>0</v>
      </c>
      <c r="C62" s="46">
        <f>IF(OR('მომწოდებლის ფორმა'!$U6="",N('მომწოდებლის ფორმა'!$W6)=0,COUNTIF('მომწოდებლის ფორმა'!$U$4:$U6,'მომწოდებლის ფორმა'!$U6)&gt;1,SUMIF('მომწოდებლის ფორმა'!$U$4:$U$27,'მომწოდებლის ფორმა'!$U6,'მომწოდებლის ფორმა'!C$4:C$27)&lt;=0),0,30/'მომწოდებლის ფორმა'!$W6)</f>
        <v>0</v>
      </c>
      <c r="D62" s="46">
        <f>IF(OR('მომწოდებლის ფორმა'!$U6="",N('მომწოდებლის ფორმა'!$W6)=0,COUNTIF('მომწოდებლის ფორმა'!$U$4:$U6,'მომწოდებლის ფორმა'!$U6)&gt;1,SUMIF('მომწოდებლის ფორმა'!$U$4:$U$27,'მომწოდებლის ფორმა'!$U6,'მომწოდებლის ფორმა'!D$4:D$27)&lt;=0),0,30/'მომწოდებლის ფორმა'!$W6)</f>
        <v>0</v>
      </c>
      <c r="E62" s="46">
        <f>IF(OR('მომწოდებლის ფორმა'!$U6="",N('მომწოდებლის ფორმა'!$W6)=0,COUNTIF('მომწოდებლის ფორმა'!$U$4:$U6,'მომწოდებლის ფორმა'!$U6)&gt;1,SUMIF('მომწოდებლის ფორმა'!$U$4:$U$27,'მომწოდებლის ფორმა'!$U6,'მომწოდებლის ფორმა'!E$4:E$27)&lt;=0),0,30/'მომწოდებლის ფორმა'!$W6)</f>
        <v>0</v>
      </c>
      <c r="F62" s="46">
        <f>IF(OR('მომწოდებლის ფორმა'!$U6="",N('მომწოდებლის ფორმა'!$W6)=0,COUNTIF('მომწოდებლის ფორმა'!$U$4:$U6,'მომწოდებლის ფორმა'!$U6)&gt;1,SUMIF('მომწოდებლის ფორმა'!$U$4:$U$27,'მომწოდებლის ფორმა'!$U6,'მომწოდებლის ფორმა'!F$4:F$27)&lt;=0),0,30/'მომწოდებლის ფორმა'!$W6)</f>
        <v>0</v>
      </c>
      <c r="G62" s="46">
        <f>IF(OR('მომწოდებლის ფორმა'!$U6="",N('მომწოდებლის ფორმა'!$W6)=0,COUNTIF('მომწოდებლის ფორმა'!$U$4:$U6,'მომწოდებლის ფორმა'!$U6)&gt;1,SUMIF('მომწოდებლის ფორმა'!$U$4:$U$27,'მომწოდებლის ფორმა'!$U6,'მომწოდებლის ფორმა'!G$4:G$27)&lt;=0),0,30/'მომწოდებლის ფორმა'!$W6)</f>
        <v>0</v>
      </c>
      <c r="H62" s="46">
        <f>IF(OR('მომწოდებლის ფორმა'!$U6="",N('მომწოდებლის ფორმა'!$W6)=0,COUNTIF('მომწოდებლის ფორმა'!$U$4:$U6,'მომწოდებლის ფორმა'!$U6)&gt;1,SUMIF('მომწოდებლის ფორმა'!$U$4:$U$27,'მომწოდებლის ფორმა'!$U6,'მომწოდებლის ფორმა'!H$4:H$27)&lt;=0),0,30/'მომწოდებლის ფორმა'!$W6)</f>
        <v>0</v>
      </c>
      <c r="I62" s="46">
        <f>IF(OR('მომწოდებლის ფორმა'!$U6="",N('მომწოდებლის ფორმა'!$W6)=0,COUNTIF('მომწოდებლის ფორმა'!$U$4:$U6,'მომწოდებლის ფორმა'!$U6)&gt;1,SUMIF('მომწოდებლის ფორმა'!$U$4:$U$27,'მომწოდებლის ფორმა'!$U6,'მომწოდებლის ფორმა'!I$4:I$27)&lt;=0),0,30/'მომწოდებლის ფორმა'!$W6)</f>
        <v>0</v>
      </c>
      <c r="J62" s="46">
        <f t="shared" si="5"/>
        <v>0</v>
      </c>
      <c r="K62" s="44">
        <f t="shared" si="6"/>
        <v>0</v>
      </c>
      <c r="L62" s="45">
        <f>N('მომწოდებლის ფორმა'!$V6)*N('მომწოდებლის ფორმა'!$AB6)</f>
        <v>0</v>
      </c>
      <c r="M62" s="45">
        <f t="shared" si="7"/>
        <v>0</v>
      </c>
      <c r="N62" s="45">
        <f>M62*'ფასი კლინიკებით'!$B$32</f>
        <v>0</v>
      </c>
    </row>
    <row r="63" spans="1:14" x14ac:dyDescent="0.3">
      <c r="A63" s="42" t="str">
        <f>'მომწოდებლის ფორმა'!A7</f>
        <v>ასპარტატ ამინოტრანსფერაზა AST G1</v>
      </c>
      <c r="B63" s="46">
        <f>IF(OR('მომწოდებლის ფორმა'!$U7="",N('მომწოდებლის ფორმა'!$W7)=0,COUNTIF('მომწოდებლის ფორმა'!$U$4:$U7,'მომწოდებლის ფორმა'!$U7)&gt;1,SUMIF('მომწოდებლის ფორმა'!$U$4:$U$27,'მომწოდებლის ფორმა'!$U7,'მომწოდებლის ფორმა'!B$4:B$27)&lt;=0),0,30/'მომწოდებლის ფორმა'!$W7)</f>
        <v>0</v>
      </c>
      <c r="C63" s="46">
        <f>IF(OR('მომწოდებლის ფორმა'!$U7="",N('მომწოდებლის ფორმა'!$W7)=0,COUNTIF('მომწოდებლის ფორმა'!$U$4:$U7,'მომწოდებლის ფორმა'!$U7)&gt;1,SUMIF('მომწოდებლის ფორმა'!$U$4:$U$27,'მომწოდებლის ფორმა'!$U7,'მომწოდებლის ფორმა'!C$4:C$27)&lt;=0),0,30/'მომწოდებლის ფორმა'!$W7)</f>
        <v>0</v>
      </c>
      <c r="D63" s="46">
        <f>IF(OR('მომწოდებლის ფორმა'!$U7="",N('მომწოდებლის ფორმა'!$W7)=0,COUNTIF('მომწოდებლის ფორმა'!$U$4:$U7,'მომწოდებლის ფორმა'!$U7)&gt;1,SUMIF('მომწოდებლის ფორმა'!$U$4:$U$27,'მომწოდებლის ფორმა'!$U7,'მომწოდებლის ფორმა'!D$4:D$27)&lt;=0),0,30/'მომწოდებლის ფორმა'!$W7)</f>
        <v>0</v>
      </c>
      <c r="E63" s="46">
        <f>IF(OR('მომწოდებლის ფორმა'!$U7="",N('მომწოდებლის ფორმა'!$W7)=0,COUNTIF('მომწოდებლის ფორმა'!$U$4:$U7,'მომწოდებლის ფორმა'!$U7)&gt;1,SUMIF('მომწოდებლის ფორმა'!$U$4:$U$27,'მომწოდებლის ფორმა'!$U7,'მომწოდებლის ფორმა'!E$4:E$27)&lt;=0),0,30/'მომწოდებლის ფორმა'!$W7)</f>
        <v>0</v>
      </c>
      <c r="F63" s="46">
        <f>IF(OR('მომწოდებლის ფორმა'!$U7="",N('მომწოდებლის ფორმა'!$W7)=0,COUNTIF('მომწოდებლის ფორმა'!$U$4:$U7,'მომწოდებლის ფორმა'!$U7)&gt;1,SUMIF('მომწოდებლის ფორმა'!$U$4:$U$27,'მომწოდებლის ფორმა'!$U7,'მომწოდებლის ფორმა'!F$4:F$27)&lt;=0),0,30/'მომწოდებლის ფორმა'!$W7)</f>
        <v>0</v>
      </c>
      <c r="G63" s="46">
        <f>IF(OR('მომწოდებლის ფორმა'!$U7="",N('მომწოდებლის ფორმა'!$W7)=0,COUNTIF('მომწოდებლის ფორმა'!$U$4:$U7,'მომწოდებლის ფორმა'!$U7)&gt;1,SUMIF('მომწოდებლის ფორმა'!$U$4:$U$27,'მომწოდებლის ფორმა'!$U7,'მომწოდებლის ფორმა'!G$4:G$27)&lt;=0),0,30/'მომწოდებლის ფორმა'!$W7)</f>
        <v>0</v>
      </c>
      <c r="H63" s="46">
        <f>IF(OR('მომწოდებლის ფორმა'!$U7="",N('მომწოდებლის ფორმა'!$W7)=0,COUNTIF('მომწოდებლის ფორმა'!$U$4:$U7,'მომწოდებლის ფორმა'!$U7)&gt;1,SUMIF('მომწოდებლის ფორმა'!$U$4:$U$27,'მომწოდებლის ფორმა'!$U7,'მომწოდებლის ფორმა'!H$4:H$27)&lt;=0),0,30/'მომწოდებლის ფორმა'!$W7)</f>
        <v>0</v>
      </c>
      <c r="I63" s="46">
        <f>IF(OR('მომწოდებლის ფორმა'!$U7="",N('მომწოდებლის ფორმა'!$W7)=0,COUNTIF('მომწოდებლის ფორმა'!$U$4:$U7,'მომწოდებლის ფორმა'!$U7)&gt;1,SUMIF('მომწოდებლის ფორმა'!$U$4:$U$27,'მომწოდებლის ფორმა'!$U7,'მომწოდებლის ფორმა'!I$4:I$27)&lt;=0),0,30/'მომწოდებლის ფორმა'!$W7)</f>
        <v>0</v>
      </c>
      <c r="J63" s="46">
        <f t="shared" si="5"/>
        <v>0</v>
      </c>
      <c r="K63" s="44">
        <f t="shared" si="6"/>
        <v>0</v>
      </c>
      <c r="L63" s="45">
        <f>N('მომწოდებლის ფორმა'!$V7)*N('მომწოდებლის ფორმა'!$AB7)</f>
        <v>0</v>
      </c>
      <c r="M63" s="45">
        <f t="shared" si="7"/>
        <v>0</v>
      </c>
      <c r="N63" s="45">
        <f>M63*'ფასი კლინიკებით'!$B$32</f>
        <v>0</v>
      </c>
    </row>
    <row r="64" spans="1:14" x14ac:dyDescent="0.3">
      <c r="A64" s="42" t="str">
        <f>'მომწოდებლის ფორმა'!A8</f>
        <v>ალკალინ ფოსფატაზა ALP G1</v>
      </c>
      <c r="B64" s="46">
        <f>IF(OR('მომწოდებლის ფორმა'!$U8="",N('მომწოდებლის ფორმა'!$W8)=0,COUNTIF('მომწოდებლის ფორმა'!$U$4:$U8,'მომწოდებლის ფორმა'!$U8)&gt;1,SUMIF('მომწოდებლის ფორმა'!$U$4:$U$27,'მომწოდებლის ფორმა'!$U8,'მომწოდებლის ფორმა'!B$4:B$27)&lt;=0),0,30/'მომწოდებლის ფორმა'!$W8)</f>
        <v>0</v>
      </c>
      <c r="C64" s="46">
        <f>IF(OR('მომწოდებლის ფორმა'!$U8="",N('მომწოდებლის ფორმა'!$W8)=0,COUNTIF('მომწოდებლის ფორმა'!$U$4:$U8,'მომწოდებლის ფორმა'!$U8)&gt;1,SUMIF('მომწოდებლის ფორმა'!$U$4:$U$27,'მომწოდებლის ფორმა'!$U8,'მომწოდებლის ფორმა'!C$4:C$27)&lt;=0),0,30/'მომწოდებლის ფორმა'!$W8)</f>
        <v>0</v>
      </c>
      <c r="D64" s="46">
        <f>IF(OR('მომწოდებლის ფორმა'!$U8="",N('მომწოდებლის ფორმა'!$W8)=0,COUNTIF('მომწოდებლის ფორმა'!$U$4:$U8,'მომწოდებლის ფორმა'!$U8)&gt;1,SUMIF('მომწოდებლის ფორმა'!$U$4:$U$27,'მომწოდებლის ფორმა'!$U8,'მომწოდებლის ფორმა'!D$4:D$27)&lt;=0),0,30/'მომწოდებლის ფორმა'!$W8)</f>
        <v>0</v>
      </c>
      <c r="E64" s="46">
        <f>IF(OR('მომწოდებლის ფორმა'!$U8="",N('მომწოდებლის ფორმა'!$W8)=0,COUNTIF('მომწოდებლის ფორმა'!$U$4:$U8,'მომწოდებლის ფორმა'!$U8)&gt;1,SUMIF('მომწოდებლის ფორმა'!$U$4:$U$27,'მომწოდებლის ფორმა'!$U8,'მომწოდებლის ფორმა'!E$4:E$27)&lt;=0),0,30/'მომწოდებლის ფორმა'!$W8)</f>
        <v>0</v>
      </c>
      <c r="F64" s="46">
        <f>IF(OR('მომწოდებლის ფორმა'!$U8="",N('მომწოდებლის ფორმა'!$W8)=0,COUNTIF('მომწოდებლის ფორმა'!$U$4:$U8,'მომწოდებლის ფორმა'!$U8)&gt;1,SUMIF('მომწოდებლის ფორმა'!$U$4:$U$27,'მომწოდებლის ფორმა'!$U8,'მომწოდებლის ფორმა'!F$4:F$27)&lt;=0),0,30/'მომწოდებლის ფორმა'!$W8)</f>
        <v>0</v>
      </c>
      <c r="G64" s="46">
        <f>IF(OR('მომწოდებლის ფორმა'!$U8="",N('მომწოდებლის ფორმა'!$W8)=0,COUNTIF('მომწოდებლის ფორმა'!$U$4:$U8,'მომწოდებლის ფორმა'!$U8)&gt;1,SUMIF('მომწოდებლის ფორმა'!$U$4:$U$27,'მომწოდებლის ფორმა'!$U8,'მომწოდებლის ფორმა'!G$4:G$27)&lt;=0),0,30/'მომწოდებლის ფორმა'!$W8)</f>
        <v>0</v>
      </c>
      <c r="H64" s="46">
        <f>IF(OR('მომწოდებლის ფორმა'!$U8="",N('მომწოდებლის ფორმა'!$W8)=0,COUNTIF('მომწოდებლის ფორმა'!$U$4:$U8,'მომწოდებლის ფორმა'!$U8)&gt;1,SUMIF('მომწოდებლის ფორმა'!$U$4:$U$27,'მომწოდებლის ფორმა'!$U8,'მომწოდებლის ფორმა'!H$4:H$27)&lt;=0),0,30/'მომწოდებლის ფორმა'!$W8)</f>
        <v>0</v>
      </c>
      <c r="I64" s="46">
        <f>IF(OR('მომწოდებლის ფორმა'!$U8="",N('მომწოდებლის ფორმა'!$W8)=0,COUNTIF('მომწოდებლის ფორმა'!$U$4:$U8,'მომწოდებლის ფორმა'!$U8)&gt;1,SUMIF('მომწოდებლის ფორმა'!$U$4:$U$27,'მომწოდებლის ფორმა'!$U8,'მომწოდებლის ფორმა'!I$4:I$27)&lt;=0),0,30/'მომწოდებლის ფორმა'!$W8)</f>
        <v>0</v>
      </c>
      <c r="J64" s="46">
        <f t="shared" si="5"/>
        <v>0</v>
      </c>
      <c r="K64" s="44">
        <f t="shared" si="6"/>
        <v>0</v>
      </c>
      <c r="L64" s="45">
        <f>N('მომწოდებლის ფორმა'!$V8)*N('მომწოდებლის ფორმა'!$AB8)</f>
        <v>0</v>
      </c>
      <c r="M64" s="45">
        <f t="shared" si="7"/>
        <v>0</v>
      </c>
      <c r="N64" s="45">
        <f>M64*'ფასი კლინიკებით'!$B$32</f>
        <v>0</v>
      </c>
    </row>
    <row r="65" spans="1:14" x14ac:dyDescent="0.3">
      <c r="A65" s="42" t="str">
        <f>'მომწოდებლის ფორმა'!A9</f>
        <v>y-გლუტამილ ტრანსფერაზა GGT G1</v>
      </c>
      <c r="B65" s="46">
        <f>IF(OR('მომწოდებლის ფორმა'!$U9="",N('მომწოდებლის ფორმა'!$W9)=0,COUNTIF('მომწოდებლის ფორმა'!$U$4:$U9,'მომწოდებლის ფორმა'!$U9)&gt;1,SUMIF('მომწოდებლის ფორმა'!$U$4:$U$27,'მომწოდებლის ფორმა'!$U9,'მომწოდებლის ფორმა'!B$4:B$27)&lt;=0),0,30/'მომწოდებლის ფორმა'!$W9)</f>
        <v>0</v>
      </c>
      <c r="C65" s="46">
        <f>IF(OR('მომწოდებლის ფორმა'!$U9="",N('მომწოდებლის ფორმა'!$W9)=0,COUNTIF('მომწოდებლის ფორმა'!$U$4:$U9,'მომწოდებლის ფორმა'!$U9)&gt;1,SUMIF('მომწოდებლის ფორმა'!$U$4:$U$27,'მომწოდებლის ფორმა'!$U9,'მომწოდებლის ფორმა'!C$4:C$27)&lt;=0),0,30/'მომწოდებლის ფორმა'!$W9)</f>
        <v>0</v>
      </c>
      <c r="D65" s="46">
        <f>IF(OR('მომწოდებლის ფორმა'!$U9="",N('მომწოდებლის ფორმა'!$W9)=0,COUNTIF('მომწოდებლის ფორმა'!$U$4:$U9,'მომწოდებლის ფორმა'!$U9)&gt;1,SUMIF('მომწოდებლის ფორმა'!$U$4:$U$27,'მომწოდებლის ფორმა'!$U9,'მომწოდებლის ფორმა'!D$4:D$27)&lt;=0),0,30/'მომწოდებლის ფორმა'!$W9)</f>
        <v>0</v>
      </c>
      <c r="E65" s="46">
        <f>IF(OR('მომწოდებლის ფორმა'!$U9="",N('მომწოდებლის ფორმა'!$W9)=0,COUNTIF('მომწოდებლის ფორმა'!$U$4:$U9,'მომწოდებლის ფორმა'!$U9)&gt;1,SUMIF('მომწოდებლის ფორმა'!$U$4:$U$27,'მომწოდებლის ფორმა'!$U9,'მომწოდებლის ფორმა'!E$4:E$27)&lt;=0),0,30/'მომწოდებლის ფორმა'!$W9)</f>
        <v>0</v>
      </c>
      <c r="F65" s="46">
        <f>IF(OR('მომწოდებლის ფორმა'!$U9="",N('მომწოდებლის ფორმა'!$W9)=0,COUNTIF('მომწოდებლის ფორმა'!$U$4:$U9,'მომწოდებლის ფორმა'!$U9)&gt;1,SUMIF('მომწოდებლის ფორმა'!$U$4:$U$27,'მომწოდებლის ფორმა'!$U9,'მომწოდებლის ფორმა'!F$4:F$27)&lt;=0),0,30/'მომწოდებლის ფორმა'!$W9)</f>
        <v>0</v>
      </c>
      <c r="G65" s="46">
        <f>IF(OR('მომწოდებლის ფორმა'!$U9="",N('მომწოდებლის ფორმა'!$W9)=0,COUNTIF('მომწოდებლის ფორმა'!$U$4:$U9,'მომწოდებლის ფორმა'!$U9)&gt;1,SUMIF('მომწოდებლის ფორმა'!$U$4:$U$27,'მომწოდებლის ფორმა'!$U9,'მომწოდებლის ფორმა'!G$4:G$27)&lt;=0),0,30/'მომწოდებლის ფორმა'!$W9)</f>
        <v>0</v>
      </c>
      <c r="H65" s="46">
        <f>IF(OR('მომწოდებლის ფორმა'!$U9="",N('მომწოდებლის ფორმა'!$W9)=0,COUNTIF('მომწოდებლის ფორმა'!$U$4:$U9,'მომწოდებლის ფორმა'!$U9)&gt;1,SUMIF('მომწოდებლის ფორმა'!$U$4:$U$27,'მომწოდებლის ფორმა'!$U9,'მომწოდებლის ფორმა'!H$4:H$27)&lt;=0),0,30/'მომწოდებლის ფორმა'!$W9)</f>
        <v>0</v>
      </c>
      <c r="I65" s="46">
        <f>IF(OR('მომწოდებლის ფორმა'!$U9="",N('მომწოდებლის ფორმა'!$W9)=0,COUNTIF('მომწოდებლის ფორმა'!$U$4:$U9,'მომწოდებლის ფორმა'!$U9)&gt;1,SUMIF('მომწოდებლის ფორმა'!$U$4:$U$27,'მომწოდებლის ფორმა'!$U9,'მომწოდებლის ფორმა'!I$4:I$27)&lt;=0),0,30/'მომწოდებლის ფორმა'!$W9)</f>
        <v>0</v>
      </c>
      <c r="J65" s="46">
        <f t="shared" si="5"/>
        <v>0</v>
      </c>
      <c r="K65" s="44">
        <f t="shared" si="6"/>
        <v>0</v>
      </c>
      <c r="L65" s="45">
        <f>N('მომწოდებლის ფორმა'!$V9)*N('მომწოდებლის ფორმა'!$AB9)</f>
        <v>0</v>
      </c>
      <c r="M65" s="45">
        <f t="shared" si="7"/>
        <v>0</v>
      </c>
      <c r="N65" s="45">
        <f>M65*'ფასი კლინიკებით'!$B$32</f>
        <v>0</v>
      </c>
    </row>
    <row r="66" spans="1:14" x14ac:dyDescent="0.3">
      <c r="A66" s="42" t="str">
        <f>'მომწოდებლის ფორმა'!A10</f>
        <v>სრული  ბილირუბინი TBIL  G1</v>
      </c>
      <c r="B66" s="46">
        <f>IF(OR('მომწოდებლის ფორმა'!$U10="",N('მომწოდებლის ფორმა'!$W10)=0,COUNTIF('მომწოდებლის ფორმა'!$U$4:$U10,'მომწოდებლის ფორმა'!$U10)&gt;1,SUMIF('მომწოდებლის ფორმა'!$U$4:$U$27,'მომწოდებლის ფორმა'!$U10,'მომწოდებლის ფორმა'!B$4:B$27)&lt;=0),0,30/'მომწოდებლის ფორმა'!$W10)</f>
        <v>0</v>
      </c>
      <c r="C66" s="46">
        <f>IF(OR('მომწოდებლის ფორმა'!$U10="",N('მომწოდებლის ფორმა'!$W10)=0,COUNTIF('მომწოდებლის ფორმა'!$U$4:$U10,'მომწოდებლის ფორმა'!$U10)&gt;1,SUMIF('მომწოდებლის ფორმა'!$U$4:$U$27,'მომწოდებლის ფორმა'!$U10,'მომწოდებლის ფორმა'!C$4:C$27)&lt;=0),0,30/'მომწოდებლის ფორმა'!$W10)</f>
        <v>0</v>
      </c>
      <c r="D66" s="46">
        <f>IF(OR('მომწოდებლის ფორმა'!$U10="",N('მომწოდებლის ფორმა'!$W10)=0,COUNTIF('მომწოდებლის ფორმა'!$U$4:$U10,'მომწოდებლის ფორმა'!$U10)&gt;1,SUMIF('მომწოდებლის ფორმა'!$U$4:$U$27,'მომწოდებლის ფორმა'!$U10,'მომწოდებლის ფორმა'!D$4:D$27)&lt;=0),0,30/'მომწოდებლის ფორმა'!$W10)</f>
        <v>0</v>
      </c>
      <c r="E66" s="46">
        <f>IF(OR('მომწოდებლის ფორმა'!$U10="",N('მომწოდებლის ფორმა'!$W10)=0,COUNTIF('მომწოდებლის ფორმა'!$U$4:$U10,'მომწოდებლის ფორმა'!$U10)&gt;1,SUMIF('მომწოდებლის ფორმა'!$U$4:$U$27,'მომწოდებლის ფორმა'!$U10,'მომწოდებლის ფორმა'!E$4:E$27)&lt;=0),0,30/'მომწოდებლის ფორმა'!$W10)</f>
        <v>0</v>
      </c>
      <c r="F66" s="46">
        <f>IF(OR('მომწოდებლის ფორმა'!$U10="",N('მომწოდებლის ფორმა'!$W10)=0,COUNTIF('მომწოდებლის ფორმა'!$U$4:$U10,'მომწოდებლის ფორმა'!$U10)&gt;1,SUMIF('მომწოდებლის ფორმა'!$U$4:$U$27,'მომწოდებლის ფორმა'!$U10,'მომწოდებლის ფორმა'!F$4:F$27)&lt;=0),0,30/'მომწოდებლის ფორმა'!$W10)</f>
        <v>0</v>
      </c>
      <c r="G66" s="46">
        <f>IF(OR('მომწოდებლის ფორმა'!$U10="",N('მომწოდებლის ფორმა'!$W10)=0,COUNTIF('მომწოდებლის ფორმა'!$U$4:$U10,'მომწოდებლის ფორმა'!$U10)&gt;1,SUMIF('მომწოდებლის ფორმა'!$U$4:$U$27,'მომწოდებლის ფორმა'!$U10,'მომწოდებლის ფორმა'!G$4:G$27)&lt;=0),0,30/'მომწოდებლის ფორმა'!$W10)</f>
        <v>0</v>
      </c>
      <c r="H66" s="46">
        <f>IF(OR('მომწოდებლის ფორმა'!$U10="",N('მომწოდებლის ფორმა'!$W10)=0,COUNTIF('მომწოდებლის ფორმა'!$U$4:$U10,'მომწოდებლის ფორმა'!$U10)&gt;1,SUMIF('მომწოდებლის ფორმა'!$U$4:$U$27,'მომწოდებლის ფორმა'!$U10,'მომწოდებლის ფორმა'!H$4:H$27)&lt;=0),0,30/'მომწოდებლის ფორმა'!$W10)</f>
        <v>0</v>
      </c>
      <c r="I66" s="46">
        <f>IF(OR('მომწოდებლის ფორმა'!$U10="",N('მომწოდებლის ფორმა'!$W10)=0,COUNTIF('მომწოდებლის ფორმა'!$U$4:$U10,'მომწოდებლის ფორმა'!$U10)&gt;1,SUMIF('მომწოდებლის ფორმა'!$U$4:$U$27,'მომწოდებლის ფორმა'!$U10,'მომწოდებლის ფორმა'!I$4:I$27)&lt;=0),0,30/'მომწოდებლის ფორმა'!$W10)</f>
        <v>0</v>
      </c>
      <c r="J66" s="46">
        <f t="shared" si="5"/>
        <v>0</v>
      </c>
      <c r="K66" s="44">
        <f t="shared" si="6"/>
        <v>0</v>
      </c>
      <c r="L66" s="45">
        <f>N('მომწოდებლის ფორმა'!$V10)*N('მომწოდებლის ფორმა'!$AB10)</f>
        <v>0</v>
      </c>
      <c r="M66" s="45">
        <f t="shared" si="7"/>
        <v>0</v>
      </c>
      <c r="N66" s="45">
        <f>M66*'ფასი კლინიკებით'!$B$32</f>
        <v>0</v>
      </c>
    </row>
    <row r="67" spans="1:14" x14ac:dyDescent="0.3">
      <c r="A67" s="42" t="str">
        <f>'მომწოდებლის ფორმა'!A11</f>
        <v>სრული პროტეინი TP G1</v>
      </c>
      <c r="B67" s="46">
        <f>IF(OR('მომწოდებლის ფორმა'!$U11="",N('მომწოდებლის ფორმა'!$W11)=0,COUNTIF('მომწოდებლის ფორმა'!$U$4:$U11,'მომწოდებლის ფორმა'!$U11)&gt;1,SUMIF('მომწოდებლის ფორმა'!$U$4:$U$27,'მომწოდებლის ფორმა'!$U11,'მომწოდებლის ფორმა'!B$4:B$27)&lt;=0),0,30/'მომწოდებლის ფორმა'!$W11)</f>
        <v>0</v>
      </c>
      <c r="C67" s="46">
        <f>IF(OR('მომწოდებლის ფორმა'!$U11="",N('მომწოდებლის ფორმა'!$W11)=0,COUNTIF('მომწოდებლის ფორმა'!$U$4:$U11,'მომწოდებლის ფორმა'!$U11)&gt;1,SUMIF('მომწოდებლის ფორმა'!$U$4:$U$27,'მომწოდებლის ფორმა'!$U11,'მომწოდებლის ფორმა'!C$4:C$27)&lt;=0),0,30/'მომწოდებლის ფორმა'!$W11)</f>
        <v>0</v>
      </c>
      <c r="D67" s="46">
        <f>IF(OR('მომწოდებლის ფორმა'!$U11="",N('მომწოდებლის ფორმა'!$W11)=0,COUNTIF('მომწოდებლის ფორმა'!$U$4:$U11,'მომწოდებლის ფორმა'!$U11)&gt;1,SUMIF('მომწოდებლის ფორმა'!$U$4:$U$27,'მომწოდებლის ფორმა'!$U11,'მომწოდებლის ფორმა'!D$4:D$27)&lt;=0),0,30/'მომწოდებლის ფორმა'!$W11)</f>
        <v>0</v>
      </c>
      <c r="E67" s="46">
        <f>IF(OR('მომწოდებლის ფორმა'!$U11="",N('მომწოდებლის ფორმა'!$W11)=0,COUNTIF('მომწოდებლის ფორმა'!$U$4:$U11,'მომწოდებლის ფორმა'!$U11)&gt;1,SUMIF('მომწოდებლის ფორმა'!$U$4:$U$27,'მომწოდებლის ფორმა'!$U11,'მომწოდებლის ფორმა'!E$4:E$27)&lt;=0),0,30/'მომწოდებლის ფორმა'!$W11)</f>
        <v>0</v>
      </c>
      <c r="F67" s="46">
        <f>IF(OR('მომწოდებლის ფორმა'!$U11="",N('მომწოდებლის ფორმა'!$W11)=0,COUNTIF('მომწოდებლის ფორმა'!$U$4:$U11,'მომწოდებლის ფორმა'!$U11)&gt;1,SUMIF('მომწოდებლის ფორმა'!$U$4:$U$27,'მომწოდებლის ფორმა'!$U11,'მომწოდებლის ფორმა'!F$4:F$27)&lt;=0),0,30/'მომწოდებლის ფორმა'!$W11)</f>
        <v>0</v>
      </c>
      <c r="G67" s="46">
        <f>IF(OR('მომწოდებლის ფორმა'!$U11="",N('მომწოდებლის ფორმა'!$W11)=0,COUNTIF('მომწოდებლის ფორმა'!$U$4:$U11,'მომწოდებლის ფორმა'!$U11)&gt;1,SUMIF('მომწოდებლის ფორმა'!$U$4:$U$27,'მომწოდებლის ფორმა'!$U11,'მომწოდებლის ფორმა'!G$4:G$27)&lt;=0),0,30/'მომწოდებლის ფორმა'!$W11)</f>
        <v>0</v>
      </c>
      <c r="H67" s="46">
        <f>IF(OR('მომწოდებლის ფორმა'!$U11="",N('მომწოდებლის ფორმა'!$W11)=0,COUNTIF('მომწოდებლის ფორმა'!$U$4:$U11,'მომწოდებლის ფორმა'!$U11)&gt;1,SUMIF('მომწოდებლის ფორმა'!$U$4:$U$27,'მომწოდებლის ფორმა'!$U11,'მომწოდებლის ფორმა'!H$4:H$27)&lt;=0),0,30/'მომწოდებლის ფორმა'!$W11)</f>
        <v>0</v>
      </c>
      <c r="I67" s="46">
        <f>IF(OR('მომწოდებლის ფორმა'!$U11="",N('მომწოდებლის ფორმა'!$W11)=0,COUNTIF('მომწოდებლის ფორმა'!$U$4:$U11,'მომწოდებლის ფორმა'!$U11)&gt;1,SUMIF('მომწოდებლის ფორმა'!$U$4:$U$27,'მომწოდებლის ფორმა'!$U11,'მომწოდებლის ფორმა'!I$4:I$27)&lt;=0),0,30/'მომწოდებლის ფორმა'!$W11)</f>
        <v>0</v>
      </c>
      <c r="J67" s="46">
        <f t="shared" si="5"/>
        <v>0</v>
      </c>
      <c r="K67" s="44">
        <f t="shared" si="6"/>
        <v>0</v>
      </c>
      <c r="L67" s="45">
        <f>N('მომწოდებლის ფორმა'!$V11)*N('მომწოდებლის ფორმა'!$AB11)</f>
        <v>0</v>
      </c>
      <c r="M67" s="45">
        <f t="shared" si="7"/>
        <v>0</v>
      </c>
      <c r="N67" s="45">
        <f>M67*'ფასი კლინიკებით'!$B$32</f>
        <v>0</v>
      </c>
    </row>
    <row r="68" spans="1:14" x14ac:dyDescent="0.3">
      <c r="A68" s="42" t="str">
        <f>'მომწოდებლის ფორმა'!A12</f>
        <v>ალბუმინი ALB G1</v>
      </c>
      <c r="B68" s="46">
        <f>IF(OR('მომწოდებლის ფორმა'!$U12="",N('მომწოდებლის ფორმა'!$W12)=0,COUNTIF('მომწოდებლის ფორმა'!$U$4:$U12,'მომწოდებლის ფორმა'!$U12)&gt;1,SUMIF('მომწოდებლის ფორმა'!$U$4:$U$27,'მომწოდებლის ფორმა'!$U12,'მომწოდებლის ფორმა'!B$4:B$27)&lt;=0),0,30/'მომწოდებლის ფორმა'!$W12)</f>
        <v>0</v>
      </c>
      <c r="C68" s="46">
        <f>IF(OR('მომწოდებლის ფორმა'!$U12="",N('მომწოდებლის ფორმა'!$W12)=0,COUNTIF('მომწოდებლის ფორმა'!$U$4:$U12,'მომწოდებლის ფორმა'!$U12)&gt;1,SUMIF('მომწოდებლის ფორმა'!$U$4:$U$27,'მომწოდებლის ფორმა'!$U12,'მომწოდებლის ფორმა'!C$4:C$27)&lt;=0),0,30/'მომწოდებლის ფორმა'!$W12)</f>
        <v>0</v>
      </c>
      <c r="D68" s="46">
        <f>IF(OR('მომწოდებლის ფორმა'!$U12="",N('მომწოდებლის ფორმა'!$W12)=0,COUNTIF('მომწოდებლის ფორმა'!$U$4:$U12,'მომწოდებლის ფორმა'!$U12)&gt;1,SUMIF('მომწოდებლის ფორმა'!$U$4:$U$27,'მომწოდებლის ფორმა'!$U12,'მომწოდებლის ფორმა'!D$4:D$27)&lt;=0),0,30/'მომწოდებლის ფორმა'!$W12)</f>
        <v>0</v>
      </c>
      <c r="E68" s="46">
        <f>IF(OR('მომწოდებლის ფორმა'!$U12="",N('მომწოდებლის ფორმა'!$W12)=0,COUNTIF('მომწოდებლის ფორმა'!$U$4:$U12,'მომწოდებლის ფორმა'!$U12)&gt;1,SUMIF('მომწოდებლის ფორმა'!$U$4:$U$27,'მომწოდებლის ფორმა'!$U12,'მომწოდებლის ფორმა'!E$4:E$27)&lt;=0),0,30/'მომწოდებლის ფორმა'!$W12)</f>
        <v>0</v>
      </c>
      <c r="F68" s="46">
        <f>IF(OR('მომწოდებლის ფორმა'!$U12="",N('მომწოდებლის ფორმა'!$W12)=0,COUNTIF('მომწოდებლის ფორმა'!$U$4:$U12,'მომწოდებლის ფორმა'!$U12)&gt;1,SUMIF('მომწოდებლის ფორმა'!$U$4:$U$27,'მომწოდებლის ფორმა'!$U12,'მომწოდებლის ფორმა'!F$4:F$27)&lt;=0),0,30/'მომწოდებლის ფორმა'!$W12)</f>
        <v>0</v>
      </c>
      <c r="G68" s="46">
        <f>IF(OR('მომწოდებლის ფორმა'!$U12="",N('მომწოდებლის ფორმა'!$W12)=0,COUNTIF('მომწოდებლის ფორმა'!$U$4:$U12,'მომწოდებლის ფორმა'!$U12)&gt;1,SUMIF('მომწოდებლის ფორმა'!$U$4:$U$27,'მომწოდებლის ფორმა'!$U12,'მომწოდებლის ფორმა'!G$4:G$27)&lt;=0),0,30/'მომწოდებლის ფორმა'!$W12)</f>
        <v>0</v>
      </c>
      <c r="H68" s="46">
        <f>IF(OR('მომწოდებლის ფორმა'!$U12="",N('მომწოდებლის ფორმა'!$W12)=0,COUNTIF('მომწოდებლის ფორმა'!$U$4:$U12,'მომწოდებლის ფორმა'!$U12)&gt;1,SUMIF('მომწოდებლის ფორმა'!$U$4:$U$27,'მომწოდებლის ფორმა'!$U12,'მომწოდებლის ფორმა'!H$4:H$27)&lt;=0),0,30/'მომწოდებლის ფორმა'!$W12)</f>
        <v>0</v>
      </c>
      <c r="I68" s="46">
        <f>IF(OR('მომწოდებლის ფორმა'!$U12="",N('მომწოდებლის ფორმა'!$W12)=0,COUNTIF('მომწოდებლის ფორმა'!$U$4:$U12,'მომწოდებლის ფორმა'!$U12)&gt;1,SUMIF('მომწოდებლის ფორმა'!$U$4:$U$27,'მომწოდებლის ფორმა'!$U12,'მომწოდებლის ფორმა'!I$4:I$27)&lt;=0),0,30/'მომწოდებლის ფორმა'!$W12)</f>
        <v>0</v>
      </c>
      <c r="J68" s="46">
        <f t="shared" si="5"/>
        <v>0</v>
      </c>
      <c r="K68" s="44">
        <f t="shared" si="6"/>
        <v>0</v>
      </c>
      <c r="L68" s="45">
        <f>N('მომწოდებლის ფორმა'!$V12)*N('მომწოდებლის ფორმა'!$AB12)</f>
        <v>0</v>
      </c>
      <c r="M68" s="45">
        <f t="shared" si="7"/>
        <v>0</v>
      </c>
      <c r="N68" s="45">
        <f>M68*'ფასი კლინიკებით'!$B$32</f>
        <v>0</v>
      </c>
    </row>
    <row r="69" spans="1:14" x14ac:dyDescent="0.3">
      <c r="A69" s="42" t="str">
        <f>'მომწოდებლის ფორმა'!A13</f>
        <v>კრეატინინი Cr G1</v>
      </c>
      <c r="B69" s="46">
        <f>IF(OR('მომწოდებლის ფორმა'!$U13="",N('მომწოდებლის ფორმა'!$W13)=0,COUNTIF('მომწოდებლის ფორმა'!$U$4:$U13,'მომწოდებლის ფორმა'!$U13)&gt;1,SUMIF('მომწოდებლის ფორმა'!$U$4:$U$27,'მომწოდებლის ფორმა'!$U13,'მომწოდებლის ფორმა'!B$4:B$27)&lt;=0),0,30/'მომწოდებლის ფორმა'!$W13)</f>
        <v>0</v>
      </c>
      <c r="C69" s="46">
        <f>IF(OR('მომწოდებლის ფორმა'!$U13="",N('მომწოდებლის ფორმა'!$W13)=0,COUNTIF('მომწოდებლის ფორმა'!$U$4:$U13,'მომწოდებლის ფორმა'!$U13)&gt;1,SUMIF('მომწოდებლის ფორმა'!$U$4:$U$27,'მომწოდებლის ფორმა'!$U13,'მომწოდებლის ფორმა'!C$4:C$27)&lt;=0),0,30/'მომწოდებლის ფორმა'!$W13)</f>
        <v>0</v>
      </c>
      <c r="D69" s="46">
        <f>IF(OR('მომწოდებლის ფორმა'!$U13="",N('მომწოდებლის ფორმა'!$W13)=0,COUNTIF('მომწოდებლის ფორმა'!$U$4:$U13,'მომწოდებლის ფორმა'!$U13)&gt;1,SUMIF('მომწოდებლის ფორმა'!$U$4:$U$27,'მომწოდებლის ფორმა'!$U13,'მომწოდებლის ფორმა'!D$4:D$27)&lt;=0),0,30/'მომწოდებლის ფორმა'!$W13)</f>
        <v>0</v>
      </c>
      <c r="E69" s="46">
        <f>IF(OR('მომწოდებლის ფორმა'!$U13="",N('მომწოდებლის ფორმა'!$W13)=0,COUNTIF('მომწოდებლის ფორმა'!$U$4:$U13,'მომწოდებლის ფორმა'!$U13)&gt;1,SUMIF('მომწოდებლის ფორმა'!$U$4:$U$27,'მომწოდებლის ფორმა'!$U13,'მომწოდებლის ფორმა'!E$4:E$27)&lt;=0),0,30/'მომწოდებლის ფორმა'!$W13)</f>
        <v>0</v>
      </c>
      <c r="F69" s="46">
        <f>IF(OR('მომწოდებლის ფორმა'!$U13="",N('მომწოდებლის ფორმა'!$W13)=0,COUNTIF('მომწოდებლის ფორმა'!$U$4:$U13,'მომწოდებლის ფორმა'!$U13)&gt;1,SUMIF('მომწოდებლის ფორმა'!$U$4:$U$27,'მომწოდებლის ფორმა'!$U13,'მომწოდებლის ფორმა'!F$4:F$27)&lt;=0),0,30/'მომწოდებლის ფორმა'!$W13)</f>
        <v>0</v>
      </c>
      <c r="G69" s="46">
        <f>IF(OR('მომწოდებლის ფორმა'!$U13="",N('მომწოდებლის ფორმა'!$W13)=0,COUNTIF('მომწოდებლის ფორმა'!$U$4:$U13,'მომწოდებლის ფორმა'!$U13)&gt;1,SUMIF('მომწოდებლის ფორმა'!$U$4:$U$27,'მომწოდებლის ფორმა'!$U13,'მომწოდებლის ფორმა'!G$4:G$27)&lt;=0),0,30/'მომწოდებლის ფორმა'!$W13)</f>
        <v>0</v>
      </c>
      <c r="H69" s="46">
        <f>IF(OR('მომწოდებლის ფორმა'!$U13="",N('მომწოდებლის ფორმა'!$W13)=0,COUNTIF('მომწოდებლის ფორმა'!$U$4:$U13,'მომწოდებლის ფორმა'!$U13)&gt;1,SUMIF('მომწოდებლის ფორმა'!$U$4:$U$27,'მომწოდებლის ფორმა'!$U13,'მომწოდებლის ფორმა'!H$4:H$27)&lt;=0),0,30/'მომწოდებლის ფორმა'!$W13)</f>
        <v>0</v>
      </c>
      <c r="I69" s="46">
        <f>IF(OR('მომწოდებლის ფორმა'!$U13="",N('მომწოდებლის ფორმა'!$W13)=0,COUNTIF('მომწოდებლის ფორმა'!$U$4:$U13,'მომწოდებლის ფორმა'!$U13)&gt;1,SUMIF('მომწოდებლის ფორმა'!$U$4:$U$27,'მომწოდებლის ფორმა'!$U13,'მომწოდებლის ფორმა'!I$4:I$27)&lt;=0),0,30/'მომწოდებლის ფორმა'!$W13)</f>
        <v>0</v>
      </c>
      <c r="J69" s="46">
        <f t="shared" si="5"/>
        <v>0</v>
      </c>
      <c r="K69" s="44">
        <f t="shared" si="6"/>
        <v>0</v>
      </c>
      <c r="L69" s="45">
        <f>N('მომწოდებლის ფორმა'!$V13)*N('მომწოდებლის ფორმა'!$AB13)</f>
        <v>0</v>
      </c>
      <c r="M69" s="45">
        <f t="shared" si="7"/>
        <v>0</v>
      </c>
      <c r="N69" s="45">
        <f>M69*'ფასი კლინიკებით'!$B$32</f>
        <v>0</v>
      </c>
    </row>
    <row r="70" spans="1:14" x14ac:dyDescent="0.3">
      <c r="A70" s="42" t="str">
        <f>'მომწოდებლის ფორმა'!A14</f>
        <v>შარდოვანა Urea G1</v>
      </c>
      <c r="B70" s="46">
        <f>IF(OR('მომწოდებლის ფორმა'!$U14="",N('მომწოდებლის ფორმა'!$W14)=0,COUNTIF('მომწოდებლის ფორმა'!$U$4:$U14,'მომწოდებლის ფორმა'!$U14)&gt;1,SUMIF('მომწოდებლის ფორმა'!$U$4:$U$27,'მომწოდებლის ფორმა'!$U14,'მომწოდებლის ფორმა'!B$4:B$27)&lt;=0),0,30/'მომწოდებლის ფორმა'!$W14)</f>
        <v>0</v>
      </c>
      <c r="C70" s="46">
        <f>IF(OR('მომწოდებლის ფორმა'!$U14="",N('მომწოდებლის ფორმა'!$W14)=0,COUNTIF('მომწოდებლის ფორმა'!$U$4:$U14,'მომწოდებლის ფორმა'!$U14)&gt;1,SUMIF('მომწოდებლის ფორმა'!$U$4:$U$27,'მომწოდებლის ფორმა'!$U14,'მომწოდებლის ფორმა'!C$4:C$27)&lt;=0),0,30/'მომწოდებლის ფორმა'!$W14)</f>
        <v>0</v>
      </c>
      <c r="D70" s="46">
        <f>IF(OR('მომწოდებლის ფორმა'!$U14="",N('მომწოდებლის ფორმა'!$W14)=0,COUNTIF('მომწოდებლის ფორმა'!$U$4:$U14,'მომწოდებლის ფორმა'!$U14)&gt;1,SUMIF('მომწოდებლის ფორმა'!$U$4:$U$27,'მომწოდებლის ფორმა'!$U14,'მომწოდებლის ფორმა'!D$4:D$27)&lt;=0),0,30/'მომწოდებლის ფორმა'!$W14)</f>
        <v>0</v>
      </c>
      <c r="E70" s="46">
        <f>IF(OR('მომწოდებლის ფორმა'!$U14="",N('მომწოდებლის ფორმა'!$W14)=0,COUNTIF('მომწოდებლის ფორმა'!$U$4:$U14,'მომწოდებლის ფორმა'!$U14)&gt;1,SUMIF('მომწოდებლის ფორმა'!$U$4:$U$27,'მომწოდებლის ფორმა'!$U14,'მომწოდებლის ფორმა'!E$4:E$27)&lt;=0),0,30/'მომწოდებლის ფორმა'!$W14)</f>
        <v>0</v>
      </c>
      <c r="F70" s="46">
        <f>IF(OR('მომწოდებლის ფორმა'!$U14="",N('მომწოდებლის ფორმა'!$W14)=0,COUNTIF('მომწოდებლის ფორმა'!$U$4:$U14,'მომწოდებლის ფორმა'!$U14)&gt;1,SUMIF('მომწოდებლის ფორმა'!$U$4:$U$27,'მომწოდებლის ფორმა'!$U14,'მომწოდებლის ფორმა'!F$4:F$27)&lt;=0),0,30/'მომწოდებლის ფორმა'!$W14)</f>
        <v>0</v>
      </c>
      <c r="G70" s="46">
        <f>IF(OR('მომწოდებლის ფორმა'!$U14="",N('მომწოდებლის ფორმა'!$W14)=0,COUNTIF('მომწოდებლის ფორმა'!$U$4:$U14,'მომწოდებლის ფორმა'!$U14)&gt;1,SUMIF('მომწოდებლის ფორმა'!$U$4:$U$27,'მომწოდებლის ფორმა'!$U14,'მომწოდებლის ფორმა'!G$4:G$27)&lt;=0),0,30/'მომწოდებლის ფორმა'!$W14)</f>
        <v>0</v>
      </c>
      <c r="H70" s="46">
        <f>IF(OR('მომწოდებლის ფორმა'!$U14="",N('მომწოდებლის ფორმა'!$W14)=0,COUNTIF('მომწოდებლის ფორმა'!$U$4:$U14,'მომწოდებლის ფორმა'!$U14)&gt;1,SUMIF('მომწოდებლის ფორმა'!$U$4:$U$27,'მომწოდებლის ფორმა'!$U14,'მომწოდებლის ფორმა'!H$4:H$27)&lt;=0),0,30/'მომწოდებლის ფორმა'!$W14)</f>
        <v>0</v>
      </c>
      <c r="I70" s="46">
        <f>IF(OR('მომწოდებლის ფორმა'!$U14="",N('მომწოდებლის ფორმა'!$W14)=0,COUNTIF('მომწოდებლის ფორმა'!$U$4:$U14,'მომწოდებლის ფორმა'!$U14)&gt;1,SUMIF('მომწოდებლის ფორმა'!$U$4:$U$27,'მომწოდებლის ფორმა'!$U14,'მომწოდებლის ფორმა'!I$4:I$27)&lt;=0),0,30/'მომწოდებლის ფორმა'!$W14)</f>
        <v>0</v>
      </c>
      <c r="J70" s="46">
        <f t="shared" si="5"/>
        <v>0</v>
      </c>
      <c r="K70" s="44">
        <f t="shared" si="6"/>
        <v>0</v>
      </c>
      <c r="L70" s="45">
        <f>N('მომწოდებლის ფორმა'!$V14)*N('მომწოდებლის ფორმა'!$AB14)</f>
        <v>0</v>
      </c>
      <c r="M70" s="45">
        <f t="shared" si="7"/>
        <v>0</v>
      </c>
      <c r="N70" s="45">
        <f>M70*'ფასი კლინიკებით'!$B$32</f>
        <v>0</v>
      </c>
    </row>
    <row r="71" spans="1:14" x14ac:dyDescent="0.3">
      <c r="A71" s="42" t="str">
        <f>'მომწოდებლის ფორმა'!A15</f>
        <v>რკინა Fe G1</v>
      </c>
      <c r="B71" s="46">
        <f>IF(OR('მომწოდებლის ფორმა'!$U15="",N('მომწოდებლის ფორმა'!$W15)=0,COUNTIF('მომწოდებლის ფორმა'!$U$4:$U15,'მომწოდებლის ფორმა'!$U15)&gt;1,SUMIF('მომწოდებლის ფორმა'!$U$4:$U$27,'მომწოდებლის ფორმა'!$U15,'მომწოდებლის ფორმა'!B$4:B$27)&lt;=0),0,30/'მომწოდებლის ფორმა'!$W15)</f>
        <v>0</v>
      </c>
      <c r="C71" s="46">
        <f>IF(OR('მომწოდებლის ფორმა'!$U15="",N('მომწოდებლის ფორმა'!$W15)=0,COUNTIF('მომწოდებლის ფორმა'!$U$4:$U15,'მომწოდებლის ფორმა'!$U15)&gt;1,SUMIF('მომწოდებლის ფორმა'!$U$4:$U$27,'მომწოდებლის ფორმა'!$U15,'მომწოდებლის ფორმა'!C$4:C$27)&lt;=0),0,30/'მომწოდებლის ფორმა'!$W15)</f>
        <v>0</v>
      </c>
      <c r="D71" s="46">
        <f>IF(OR('მომწოდებლის ფორმა'!$U15="",N('მომწოდებლის ფორმა'!$W15)=0,COUNTIF('მომწოდებლის ფორმა'!$U$4:$U15,'მომწოდებლის ფორმა'!$U15)&gt;1,SUMIF('მომწოდებლის ფორმა'!$U$4:$U$27,'მომწოდებლის ფორმა'!$U15,'მომწოდებლის ფორმა'!D$4:D$27)&lt;=0),0,30/'მომწოდებლის ფორმა'!$W15)</f>
        <v>0</v>
      </c>
      <c r="E71" s="46">
        <f>IF(OR('მომწოდებლის ფორმა'!$U15="",N('მომწოდებლის ფორმა'!$W15)=0,COUNTIF('მომწოდებლის ფორმა'!$U$4:$U15,'მომწოდებლის ფორმა'!$U15)&gt;1,SUMIF('მომწოდებლის ფორმა'!$U$4:$U$27,'მომწოდებლის ფორმა'!$U15,'მომწოდებლის ფორმა'!E$4:E$27)&lt;=0),0,30/'მომწოდებლის ფორმა'!$W15)</f>
        <v>0</v>
      </c>
      <c r="F71" s="46">
        <f>IF(OR('მომწოდებლის ფორმა'!$U15="",N('მომწოდებლის ფორმა'!$W15)=0,COUNTIF('მომწოდებლის ფორმა'!$U$4:$U15,'მომწოდებლის ფორმა'!$U15)&gt;1,SUMIF('მომწოდებლის ფორმა'!$U$4:$U$27,'მომწოდებლის ფორმა'!$U15,'მომწოდებლის ფორმა'!F$4:F$27)&lt;=0),0,30/'მომწოდებლის ფორმა'!$W15)</f>
        <v>0</v>
      </c>
      <c r="G71" s="46">
        <f>IF(OR('მომწოდებლის ფორმა'!$U15="",N('მომწოდებლის ფორმა'!$W15)=0,COUNTIF('მომწოდებლის ფორმა'!$U$4:$U15,'მომწოდებლის ფორმა'!$U15)&gt;1,SUMIF('მომწოდებლის ფორმა'!$U$4:$U$27,'მომწოდებლის ფორმა'!$U15,'მომწოდებლის ფორმა'!G$4:G$27)&lt;=0),0,30/'მომწოდებლის ფორმა'!$W15)</f>
        <v>0</v>
      </c>
      <c r="H71" s="46">
        <f>IF(OR('მომწოდებლის ფორმა'!$U15="",N('მომწოდებლის ფორმა'!$W15)=0,COUNTIF('მომწოდებლის ფორმა'!$U$4:$U15,'მომწოდებლის ფორმა'!$U15)&gt;1,SUMIF('მომწოდებლის ფორმა'!$U$4:$U$27,'მომწოდებლის ფორმა'!$U15,'მომწოდებლის ფორმა'!H$4:H$27)&lt;=0),0,30/'მომწოდებლის ფორმა'!$W15)</f>
        <v>0</v>
      </c>
      <c r="I71" s="46">
        <f>IF(OR('მომწოდებლის ფორმა'!$U15="",N('მომწოდებლის ფორმა'!$W15)=0,COUNTIF('მომწოდებლის ფორმა'!$U$4:$U15,'მომწოდებლის ფორმა'!$U15)&gt;1,SUMIF('მომწოდებლის ფორმა'!$U$4:$U$27,'მომწოდებლის ფორმა'!$U15,'მომწოდებლის ფორმა'!I$4:I$27)&lt;=0),0,30/'მომწოდებლის ფორმა'!$W15)</f>
        <v>0</v>
      </c>
      <c r="J71" s="46">
        <f t="shared" si="5"/>
        <v>0</v>
      </c>
      <c r="K71" s="44">
        <f t="shared" si="6"/>
        <v>0</v>
      </c>
      <c r="L71" s="45">
        <f>N('მომწოდებლის ფორმა'!$V15)*N('მომწოდებლის ფორმა'!$AB15)</f>
        <v>0</v>
      </c>
      <c r="M71" s="45">
        <f t="shared" si="7"/>
        <v>0</v>
      </c>
      <c r="N71" s="45">
        <f>M71*'ფასი კლინიკებით'!$B$32</f>
        <v>0</v>
      </c>
    </row>
    <row r="72" spans="1:14" x14ac:dyDescent="0.3">
      <c r="A72" s="42" t="str">
        <f>'მომწოდებლის ფორმა'!A16</f>
        <v>რეაქტიული ცილა CRP G1</v>
      </c>
      <c r="B72" s="46">
        <f>IF(OR('მომწოდებლის ფორმა'!$U16="",N('მომწოდებლის ფორმა'!$W16)=0,COUNTIF('მომწოდებლის ფორმა'!$U$4:$U16,'მომწოდებლის ფორმა'!$U16)&gt;1,SUMIF('მომწოდებლის ფორმა'!$U$4:$U$27,'მომწოდებლის ფორმა'!$U16,'მომწოდებლის ფორმა'!B$4:B$27)&lt;=0),0,30/'მომწოდებლის ფორმა'!$W16)</f>
        <v>0</v>
      </c>
      <c r="C72" s="46">
        <f>IF(OR('მომწოდებლის ფორმა'!$U16="",N('მომწოდებლის ფორმა'!$W16)=0,COUNTIF('მომწოდებლის ფორმა'!$U$4:$U16,'მომწოდებლის ფორმა'!$U16)&gt;1,SUMIF('მომწოდებლის ფორმა'!$U$4:$U$27,'მომწოდებლის ფორმა'!$U16,'მომწოდებლის ფორმა'!C$4:C$27)&lt;=0),0,30/'მომწოდებლის ფორმა'!$W16)</f>
        <v>0</v>
      </c>
      <c r="D72" s="46">
        <f>IF(OR('მომწოდებლის ფორმა'!$U16="",N('მომწოდებლის ფორმა'!$W16)=0,COUNTIF('მომწოდებლის ფორმა'!$U$4:$U16,'მომწოდებლის ფორმა'!$U16)&gt;1,SUMIF('მომწოდებლის ფორმა'!$U$4:$U$27,'მომწოდებლის ფორმა'!$U16,'მომწოდებლის ფორმა'!D$4:D$27)&lt;=0),0,30/'მომწოდებლის ფორმა'!$W16)</f>
        <v>0</v>
      </c>
      <c r="E72" s="46">
        <f>IF(OR('მომწოდებლის ფორმა'!$U16="",N('მომწოდებლის ფორმა'!$W16)=0,COUNTIF('მომწოდებლის ფორმა'!$U$4:$U16,'მომწოდებლის ფორმა'!$U16)&gt;1,SUMIF('მომწოდებლის ფორმა'!$U$4:$U$27,'მომწოდებლის ფორმა'!$U16,'მომწოდებლის ფორმა'!E$4:E$27)&lt;=0),0,30/'მომწოდებლის ფორმა'!$W16)</f>
        <v>0</v>
      </c>
      <c r="F72" s="46">
        <f>IF(OR('მომწოდებლის ფორმა'!$U16="",N('მომწოდებლის ფორმა'!$W16)=0,COUNTIF('მომწოდებლის ფორმა'!$U$4:$U16,'მომწოდებლის ფორმა'!$U16)&gt;1,SUMIF('მომწოდებლის ფორმა'!$U$4:$U$27,'მომწოდებლის ფორმა'!$U16,'მომწოდებლის ფორმა'!F$4:F$27)&lt;=0),0,30/'მომწოდებლის ფორმა'!$W16)</f>
        <v>0</v>
      </c>
      <c r="G72" s="46">
        <f>IF(OR('მომწოდებლის ფორმა'!$U16="",N('მომწოდებლის ფორმა'!$W16)=0,COUNTIF('მომწოდებლის ფორმა'!$U$4:$U16,'მომწოდებლის ფორმა'!$U16)&gt;1,SUMIF('მომწოდებლის ფორმა'!$U$4:$U$27,'მომწოდებლის ფორმა'!$U16,'მომწოდებლის ფორმა'!G$4:G$27)&lt;=0),0,30/'მომწოდებლის ფორმა'!$W16)</f>
        <v>0</v>
      </c>
      <c r="H72" s="46">
        <f>IF(OR('მომწოდებლის ფორმა'!$U16="",N('მომწოდებლის ფორმა'!$W16)=0,COUNTIF('მომწოდებლის ფორმა'!$U$4:$U16,'მომწოდებლის ფორმა'!$U16)&gt;1,SUMIF('მომწოდებლის ფორმა'!$U$4:$U$27,'მომწოდებლის ფორმა'!$U16,'მომწოდებლის ფორმა'!H$4:H$27)&lt;=0),0,30/'მომწოდებლის ფორმა'!$W16)</f>
        <v>0</v>
      </c>
      <c r="I72" s="46">
        <f>IF(OR('მომწოდებლის ფორმა'!$U16="",N('მომწოდებლის ფორმა'!$W16)=0,COUNTIF('მომწოდებლის ფორმა'!$U$4:$U16,'მომწოდებლის ფორმა'!$U16)&gt;1,SUMIF('მომწოდებლის ფორმა'!$U$4:$U$27,'მომწოდებლის ფორმა'!$U16,'მომწოდებლის ფორმა'!I$4:I$27)&lt;=0),0,30/'მომწოდებლის ფორმა'!$W16)</f>
        <v>0</v>
      </c>
      <c r="J72" s="46">
        <f t="shared" si="5"/>
        <v>0</v>
      </c>
      <c r="K72" s="44">
        <f t="shared" si="6"/>
        <v>0</v>
      </c>
      <c r="L72" s="45">
        <f>N('მომწოდებლის ფორმა'!$V16)*N('მომწოდებლის ფორმა'!$AB16)</f>
        <v>0</v>
      </c>
      <c r="M72" s="45">
        <f t="shared" si="7"/>
        <v>0</v>
      </c>
      <c r="N72" s="45">
        <f>M72*'ფასი კლინიკებით'!$B$32</f>
        <v>0</v>
      </c>
    </row>
    <row r="73" spans="1:14" x14ac:dyDescent="0.3">
      <c r="A73" s="42" t="str">
        <f>'მომწოდებლის ფორმა'!A17</f>
        <v>a-ამილაზა AMY G1</v>
      </c>
      <c r="B73" s="46">
        <f>IF(OR('მომწოდებლის ფორმა'!$U17="",N('მომწოდებლის ფორმა'!$W17)=0,COUNTIF('მომწოდებლის ფორმა'!$U$4:$U17,'მომწოდებლის ფორმა'!$U17)&gt;1,SUMIF('მომწოდებლის ფორმა'!$U$4:$U$27,'მომწოდებლის ფორმა'!$U17,'მომწოდებლის ფორმა'!B$4:B$27)&lt;=0),0,30/'მომწოდებლის ფორმა'!$W17)</f>
        <v>0</v>
      </c>
      <c r="C73" s="46">
        <f>IF(OR('მომწოდებლის ფორმა'!$U17="",N('მომწოდებლის ფორმა'!$W17)=0,COUNTIF('მომწოდებლის ფორმა'!$U$4:$U17,'მომწოდებლის ფორმა'!$U17)&gt;1,SUMIF('მომწოდებლის ფორმა'!$U$4:$U$27,'მომწოდებლის ფორმა'!$U17,'მომწოდებლის ფორმა'!C$4:C$27)&lt;=0),0,30/'მომწოდებლის ფორმა'!$W17)</f>
        <v>0</v>
      </c>
      <c r="D73" s="46">
        <f>IF(OR('მომწოდებლის ფორმა'!$U17="",N('მომწოდებლის ფორმა'!$W17)=0,COUNTIF('მომწოდებლის ფორმა'!$U$4:$U17,'მომწოდებლის ფორმა'!$U17)&gt;1,SUMIF('მომწოდებლის ფორმა'!$U$4:$U$27,'მომწოდებლის ფორმა'!$U17,'მომწოდებლის ფორმა'!D$4:D$27)&lt;=0),0,30/'მომწოდებლის ფორმა'!$W17)</f>
        <v>0</v>
      </c>
      <c r="E73" s="46">
        <f>IF(OR('მომწოდებლის ფორმა'!$U17="",N('მომწოდებლის ფორმა'!$W17)=0,COUNTIF('მომწოდებლის ფორმა'!$U$4:$U17,'მომწოდებლის ფორმა'!$U17)&gt;1,SUMIF('მომწოდებლის ფორმა'!$U$4:$U$27,'მომწოდებლის ფორმა'!$U17,'მომწოდებლის ფორმა'!E$4:E$27)&lt;=0),0,30/'მომწოდებლის ფორმა'!$W17)</f>
        <v>0</v>
      </c>
      <c r="F73" s="46">
        <f>IF(OR('მომწოდებლის ფორმა'!$U17="",N('მომწოდებლის ფორმა'!$W17)=0,COUNTIF('მომწოდებლის ფორმა'!$U$4:$U17,'მომწოდებლის ფორმა'!$U17)&gt;1,SUMIF('მომწოდებლის ფორმა'!$U$4:$U$27,'მომწოდებლის ფორმა'!$U17,'მომწოდებლის ფორმა'!F$4:F$27)&lt;=0),0,30/'მომწოდებლის ფორმა'!$W17)</f>
        <v>0</v>
      </c>
      <c r="G73" s="46">
        <f>IF(OR('მომწოდებლის ფორმა'!$U17="",N('მომწოდებლის ფორმა'!$W17)=0,COUNTIF('მომწოდებლის ფორმა'!$U$4:$U17,'მომწოდებლის ფორმა'!$U17)&gt;1,SUMIF('მომწოდებლის ფორმა'!$U$4:$U$27,'მომწოდებლის ფორმა'!$U17,'მომწოდებლის ფორმა'!G$4:G$27)&lt;=0),0,30/'მომწოდებლის ფორმა'!$W17)</f>
        <v>0</v>
      </c>
      <c r="H73" s="46">
        <f>IF(OR('მომწოდებლის ფორმა'!$U17="",N('მომწოდებლის ფორმა'!$W17)=0,COUNTIF('მომწოდებლის ფორმა'!$U$4:$U17,'მომწოდებლის ფორმა'!$U17)&gt;1,SUMIF('მომწოდებლის ფორმა'!$U$4:$U$27,'მომწოდებლის ფორმა'!$U17,'მომწოდებლის ფორმა'!H$4:H$27)&lt;=0),0,30/'მომწოდებლის ფორმა'!$W17)</f>
        <v>0</v>
      </c>
      <c r="I73" s="46">
        <f>IF(OR('მომწოდებლის ფორმა'!$U17="",N('მომწოდებლის ფორმა'!$W17)=0,COUNTIF('მომწოდებლის ფორმა'!$U$4:$U17,'მომწოდებლის ფორმა'!$U17)&gt;1,SUMIF('მომწოდებლის ფორმა'!$U$4:$U$27,'მომწოდებლის ფორმა'!$U17,'მომწოდებლის ფორმა'!I$4:I$27)&lt;=0),0,30/'მომწოდებლის ფორმა'!$W17)</f>
        <v>0</v>
      </c>
      <c r="J73" s="46">
        <f t="shared" si="5"/>
        <v>0</v>
      </c>
      <c r="K73" s="44">
        <f t="shared" si="6"/>
        <v>0</v>
      </c>
      <c r="L73" s="45">
        <f>N('მომწოდებლის ფორმა'!$V17)*N('მომწოდებლის ფორმა'!$AB17)</f>
        <v>0</v>
      </c>
      <c r="M73" s="45">
        <f t="shared" si="7"/>
        <v>0</v>
      </c>
      <c r="N73" s="45">
        <f>M73*'ფასი კლინიკებით'!$B$32</f>
        <v>0</v>
      </c>
    </row>
    <row r="74" spans="1:14" x14ac:dyDescent="0.3">
      <c r="A74" s="42" t="str">
        <f>'მომწოდებლის ფორმა'!A18</f>
        <v>მაღალი სიმკვრივის ლიპოპროტეინ ქოლესტეროლი HDL-C G1</v>
      </c>
      <c r="B74" s="46">
        <f>IF(OR('მომწოდებლის ფორმა'!$U18="",N('მომწოდებლის ფორმა'!$W18)=0,COUNTIF('მომწოდებლის ფორმა'!$U$4:$U18,'მომწოდებლის ფორმა'!$U18)&gt;1,SUMIF('მომწოდებლის ფორმა'!$U$4:$U$27,'მომწოდებლის ფორმა'!$U18,'მომწოდებლის ფორმა'!B$4:B$27)&lt;=0),0,30/'მომწოდებლის ფორმა'!$W18)</f>
        <v>0</v>
      </c>
      <c r="C74" s="46">
        <f>IF(OR('მომწოდებლის ფორმა'!$U18="",N('მომწოდებლის ფორმა'!$W18)=0,COUNTIF('მომწოდებლის ფორმა'!$U$4:$U18,'მომწოდებლის ფორმა'!$U18)&gt;1,SUMIF('მომწოდებლის ფორმა'!$U$4:$U$27,'მომწოდებლის ფორმა'!$U18,'მომწოდებლის ფორმა'!C$4:C$27)&lt;=0),0,30/'მომწოდებლის ფორმა'!$W18)</f>
        <v>0</v>
      </c>
      <c r="D74" s="46">
        <f>IF(OR('მომწოდებლის ფორმა'!$U18="",N('მომწოდებლის ფორმა'!$W18)=0,COUNTIF('მომწოდებლის ფორმა'!$U$4:$U18,'მომწოდებლის ფორმა'!$U18)&gt;1,SUMIF('მომწოდებლის ფორმა'!$U$4:$U$27,'მომწოდებლის ფორმა'!$U18,'მომწოდებლის ფორმა'!D$4:D$27)&lt;=0),0,30/'მომწოდებლის ფორმა'!$W18)</f>
        <v>0</v>
      </c>
      <c r="E74" s="46">
        <f>IF(OR('მომწოდებლის ფორმა'!$U18="",N('მომწოდებლის ფორმა'!$W18)=0,COUNTIF('მომწოდებლის ფორმა'!$U$4:$U18,'მომწოდებლის ფორმა'!$U18)&gt;1,SUMIF('მომწოდებლის ფორმა'!$U$4:$U$27,'მომწოდებლის ფორმა'!$U18,'მომწოდებლის ფორმა'!E$4:E$27)&lt;=0),0,30/'მომწოდებლის ფორმა'!$W18)</f>
        <v>0</v>
      </c>
      <c r="F74" s="46">
        <f>IF(OR('მომწოდებლის ფორმა'!$U18="",N('მომწოდებლის ფორმა'!$W18)=0,COUNTIF('მომწოდებლის ფორმა'!$U$4:$U18,'მომწოდებლის ფორმა'!$U18)&gt;1,SUMIF('მომწოდებლის ფორმა'!$U$4:$U$27,'მომწოდებლის ფორმა'!$U18,'მომწოდებლის ფორმა'!F$4:F$27)&lt;=0),0,30/'მომწოდებლის ფორმა'!$W18)</f>
        <v>0</v>
      </c>
      <c r="G74" s="46">
        <f>IF(OR('მომწოდებლის ფორმა'!$U18="",N('მომწოდებლის ფორმა'!$W18)=0,COUNTIF('მომწოდებლის ფორმა'!$U$4:$U18,'მომწოდებლის ფორმა'!$U18)&gt;1,SUMIF('მომწოდებლის ფორმა'!$U$4:$U$27,'მომწოდებლის ფორმა'!$U18,'მომწოდებლის ფორმა'!G$4:G$27)&lt;=0),0,30/'მომწოდებლის ფორმა'!$W18)</f>
        <v>0</v>
      </c>
      <c r="H74" s="46">
        <f>IF(OR('მომწოდებლის ფორმა'!$U18="",N('მომწოდებლის ფორმა'!$W18)=0,COUNTIF('მომწოდებლის ფორმა'!$U$4:$U18,'მომწოდებლის ფორმა'!$U18)&gt;1,SUMIF('მომწოდებლის ფორმა'!$U$4:$U$27,'მომწოდებლის ფორმა'!$U18,'მომწოდებლის ფორმა'!H$4:H$27)&lt;=0),0,30/'მომწოდებლის ფორმა'!$W18)</f>
        <v>0</v>
      </c>
      <c r="I74" s="46">
        <f>IF(OR('მომწოდებლის ფორმა'!$U18="",N('მომწოდებლის ფორმა'!$W18)=0,COUNTIF('მომწოდებლის ფორმა'!$U$4:$U18,'მომწოდებლის ფორმა'!$U18)&gt;1,SUMIF('მომწოდებლის ფორმა'!$U$4:$U$27,'მომწოდებლის ფორმა'!$U18,'მომწოდებლის ფორმა'!I$4:I$27)&lt;=0),0,30/'მომწოდებლის ფორმა'!$W18)</f>
        <v>0</v>
      </c>
      <c r="J74" s="46">
        <f t="shared" si="5"/>
        <v>0</v>
      </c>
      <c r="K74" s="44">
        <f t="shared" si="6"/>
        <v>0</v>
      </c>
      <c r="L74" s="45">
        <f>N('მომწოდებლის ფორმა'!$V18)*N('მომწოდებლის ფორმა'!$AB18)</f>
        <v>0</v>
      </c>
      <c r="M74" s="45">
        <f t="shared" si="7"/>
        <v>0</v>
      </c>
      <c r="N74" s="45">
        <f>M74*'ფასი კლინიკებით'!$B$32</f>
        <v>0</v>
      </c>
    </row>
    <row r="75" spans="1:14" x14ac:dyDescent="0.3">
      <c r="A75" s="42" t="str">
        <f>'მომწოდებლის ფორმა'!A19</f>
        <v>დაბალი სიმკვრივის ლიპოპროტეინ ქოლესტეროლი LDL-C G1</v>
      </c>
      <c r="B75" s="46">
        <f>IF(OR('მომწოდებლის ფორმა'!$U19="",N('მომწოდებლის ფორმა'!$W19)=0,COUNTIF('მომწოდებლის ფორმა'!$U$4:$U19,'მომწოდებლის ფორმა'!$U19)&gt;1,SUMIF('მომწოდებლის ფორმა'!$U$4:$U$27,'მომწოდებლის ფორმა'!$U19,'მომწოდებლის ფორმა'!B$4:B$27)&lt;=0),0,30/'მომწოდებლის ფორმა'!$W19)</f>
        <v>0</v>
      </c>
      <c r="C75" s="46">
        <f>IF(OR('მომწოდებლის ფორმა'!$U19="",N('მომწოდებლის ფორმა'!$W19)=0,COUNTIF('მომწოდებლის ფორმა'!$U$4:$U19,'მომწოდებლის ფორმა'!$U19)&gt;1,SUMIF('მომწოდებლის ფორმა'!$U$4:$U$27,'მომწოდებლის ფორმა'!$U19,'მომწოდებლის ფორმა'!C$4:C$27)&lt;=0),0,30/'მომწოდებლის ფორმა'!$W19)</f>
        <v>0</v>
      </c>
      <c r="D75" s="46">
        <f>IF(OR('მომწოდებლის ფორმა'!$U19="",N('მომწოდებლის ფორმა'!$W19)=0,COUNTIF('მომწოდებლის ფორმა'!$U$4:$U19,'მომწოდებლის ფორმა'!$U19)&gt;1,SUMIF('მომწოდებლის ფორმა'!$U$4:$U$27,'მომწოდებლის ფორმა'!$U19,'მომწოდებლის ფორმა'!D$4:D$27)&lt;=0),0,30/'მომწოდებლის ფორმა'!$W19)</f>
        <v>0</v>
      </c>
      <c r="E75" s="46">
        <f>IF(OR('მომწოდებლის ფორმა'!$U19="",N('მომწოდებლის ფორმა'!$W19)=0,COUNTIF('მომწოდებლის ფორმა'!$U$4:$U19,'მომწოდებლის ფორმა'!$U19)&gt;1,SUMIF('მომწოდებლის ფორმა'!$U$4:$U$27,'მომწოდებლის ფორმა'!$U19,'მომწოდებლის ფორმა'!E$4:E$27)&lt;=0),0,30/'მომწოდებლის ფორმა'!$W19)</f>
        <v>0</v>
      </c>
      <c r="F75" s="46">
        <f>IF(OR('მომწოდებლის ფორმა'!$U19="",N('მომწოდებლის ფორმა'!$W19)=0,COUNTIF('მომწოდებლის ფორმა'!$U$4:$U19,'მომწოდებლის ფორმა'!$U19)&gt;1,SUMIF('მომწოდებლის ფორმა'!$U$4:$U$27,'მომწოდებლის ფორმა'!$U19,'მომწოდებლის ფორმა'!F$4:F$27)&lt;=0),0,30/'მომწოდებლის ფორმა'!$W19)</f>
        <v>0</v>
      </c>
      <c r="G75" s="46">
        <f>IF(OR('მომწოდებლის ფორმა'!$U19="",N('მომწოდებლის ფორმა'!$W19)=0,COUNTIF('მომწოდებლის ფორმა'!$U$4:$U19,'მომწოდებლის ფორმა'!$U19)&gt;1,SUMIF('მომწოდებლის ფორმა'!$U$4:$U$27,'მომწოდებლის ფორმა'!$U19,'მომწოდებლის ფორმა'!G$4:G$27)&lt;=0),0,30/'მომწოდებლის ფორმა'!$W19)</f>
        <v>0</v>
      </c>
      <c r="H75" s="46">
        <f>IF(OR('მომწოდებლის ფორმა'!$U19="",N('მომწოდებლის ფორმა'!$W19)=0,COUNTIF('მომწოდებლის ფორმა'!$U$4:$U19,'მომწოდებლის ფორმა'!$U19)&gt;1,SUMIF('მომწოდებლის ფორმა'!$U$4:$U$27,'მომწოდებლის ფორმა'!$U19,'მომწოდებლის ფორმა'!H$4:H$27)&lt;=0),0,30/'მომწოდებლის ფორმა'!$W19)</f>
        <v>0</v>
      </c>
      <c r="I75" s="46">
        <f>IF(OR('მომწოდებლის ფორმა'!$U19="",N('მომწოდებლის ფორმა'!$W19)=0,COUNTIF('მომწოდებლის ფორმა'!$U$4:$U19,'მომწოდებლის ფორმა'!$U19)&gt;1,SUMIF('მომწოდებლის ფორმა'!$U$4:$U$27,'მომწოდებლის ფორმა'!$U19,'მომწოდებლის ფორმა'!I$4:I$27)&lt;=0),0,30/'მომწოდებლის ფორმა'!$W19)</f>
        <v>0</v>
      </c>
      <c r="J75" s="46">
        <f t="shared" si="5"/>
        <v>0</v>
      </c>
      <c r="K75" s="44">
        <f t="shared" si="6"/>
        <v>0</v>
      </c>
      <c r="L75" s="45">
        <f>N('მომწოდებლის ფორმა'!$V19)*N('მომწოდებლის ფორმა'!$AB19)</f>
        <v>0</v>
      </c>
      <c r="M75" s="45">
        <f t="shared" si="7"/>
        <v>0</v>
      </c>
      <c r="N75" s="45">
        <f>M75*'ფასი კლინიკებით'!$B$32</f>
        <v>0</v>
      </c>
    </row>
    <row r="76" spans="1:14" x14ac:dyDescent="0.3">
      <c r="A76" s="42" t="str">
        <f>'მომწოდებლის ფორმა'!A20</f>
        <v>ტრიგლიცერიდი TG G1</v>
      </c>
      <c r="B76" s="46">
        <f>IF(OR('მომწოდებლის ფორმა'!$U20="",N('მომწოდებლის ფორმა'!$W20)=0,COUNTIF('მომწოდებლის ფორმა'!$U$4:$U20,'მომწოდებლის ფორმა'!$U20)&gt;1,SUMIF('მომწოდებლის ფორმა'!$U$4:$U$27,'მომწოდებლის ფორმა'!$U20,'მომწოდებლის ფორმა'!B$4:B$27)&lt;=0),0,30/'მომწოდებლის ფორმა'!$W20)</f>
        <v>0</v>
      </c>
      <c r="C76" s="46">
        <f>IF(OR('მომწოდებლის ფორმა'!$U20="",N('მომწოდებლის ფორმა'!$W20)=0,COUNTIF('მომწოდებლის ფორმა'!$U$4:$U20,'მომწოდებლის ფორმა'!$U20)&gt;1,SUMIF('მომწოდებლის ფორმა'!$U$4:$U$27,'მომწოდებლის ფორმა'!$U20,'მომწოდებლის ფორმა'!C$4:C$27)&lt;=0),0,30/'მომწოდებლის ფორმა'!$W20)</f>
        <v>0</v>
      </c>
      <c r="D76" s="46">
        <f>IF(OR('მომწოდებლის ფორმა'!$U20="",N('მომწოდებლის ფორმა'!$W20)=0,COUNTIF('მომწოდებლის ფორმა'!$U$4:$U20,'მომწოდებლის ფორმა'!$U20)&gt;1,SUMIF('მომწოდებლის ფორმა'!$U$4:$U$27,'მომწოდებლის ფორმა'!$U20,'მომწოდებლის ფორმა'!D$4:D$27)&lt;=0),0,30/'მომწოდებლის ფორმა'!$W20)</f>
        <v>0</v>
      </c>
      <c r="E76" s="46">
        <f>IF(OR('მომწოდებლის ფორმა'!$U20="",N('მომწოდებლის ფორმა'!$W20)=0,COUNTIF('მომწოდებლის ფორმა'!$U$4:$U20,'მომწოდებლის ფორმა'!$U20)&gt;1,SUMIF('მომწოდებლის ფორმა'!$U$4:$U$27,'მომწოდებლის ფორმა'!$U20,'მომწოდებლის ფორმა'!E$4:E$27)&lt;=0),0,30/'მომწოდებლის ფორმა'!$W20)</f>
        <v>0</v>
      </c>
      <c r="F76" s="46">
        <f>IF(OR('მომწოდებლის ფორმა'!$U20="",N('მომწოდებლის ფორმა'!$W20)=0,COUNTIF('მომწოდებლის ფორმა'!$U$4:$U20,'მომწოდებლის ფორმა'!$U20)&gt;1,SUMIF('მომწოდებლის ფორმა'!$U$4:$U$27,'მომწოდებლის ფორმა'!$U20,'მომწოდებლის ფორმა'!F$4:F$27)&lt;=0),0,30/'მომწოდებლის ფორმა'!$W20)</f>
        <v>0</v>
      </c>
      <c r="G76" s="46">
        <f>IF(OR('მომწოდებლის ფორმა'!$U20="",N('მომწოდებლის ფორმა'!$W20)=0,COUNTIF('მომწოდებლის ფორმა'!$U$4:$U20,'მომწოდებლის ფორმა'!$U20)&gt;1,SUMIF('მომწოდებლის ფორმა'!$U$4:$U$27,'მომწოდებლის ფორმა'!$U20,'მომწოდებლის ფორმა'!G$4:G$27)&lt;=0),0,30/'მომწოდებლის ფორმა'!$W20)</f>
        <v>0</v>
      </c>
      <c r="H76" s="46">
        <f>IF(OR('მომწოდებლის ფორმა'!$U20="",N('მომწოდებლის ფორმა'!$W20)=0,COUNTIF('მომწოდებლის ფორმა'!$U$4:$U20,'მომწოდებლის ფორმა'!$U20)&gt;1,SUMIF('მომწოდებლის ფორმა'!$U$4:$U$27,'მომწოდებლის ფორმა'!$U20,'მომწოდებლის ფორმა'!H$4:H$27)&lt;=0),0,30/'მომწოდებლის ფორმა'!$W20)</f>
        <v>0</v>
      </c>
      <c r="I76" s="46">
        <f>IF(OR('მომწოდებლის ფორმა'!$U20="",N('მომწოდებლის ფორმა'!$W20)=0,COUNTIF('მომწოდებლის ფორმა'!$U$4:$U20,'მომწოდებლის ფორმა'!$U20)&gt;1,SUMIF('მომწოდებლის ფორმა'!$U$4:$U$27,'მომწოდებლის ფორმა'!$U20,'მომწოდებლის ფორმა'!I$4:I$27)&lt;=0),0,30/'მომწოდებლის ფორმა'!$W20)</f>
        <v>0</v>
      </c>
      <c r="J76" s="46">
        <f t="shared" si="5"/>
        <v>0</v>
      </c>
      <c r="K76" s="44">
        <f t="shared" si="6"/>
        <v>0</v>
      </c>
      <c r="L76" s="45">
        <f>N('მომწოდებლის ფორმა'!$V20)*N('მომწოდებლის ფორმა'!$AB20)</f>
        <v>0</v>
      </c>
      <c r="M76" s="45">
        <f t="shared" si="7"/>
        <v>0</v>
      </c>
      <c r="N76" s="45">
        <f>M76*'ფასი კლინიკებით'!$B$32</f>
        <v>0</v>
      </c>
    </row>
    <row r="77" spans="1:14" x14ac:dyDescent="0.3">
      <c r="A77" s="42" t="str">
        <f>'მომწოდებლის ფორმა'!A21</f>
        <v>პირდაპირი ბილირუბინი DBIL G1</v>
      </c>
      <c r="B77" s="46">
        <f>IF(OR('მომწოდებლის ფორმა'!$U21="",N('მომწოდებლის ფორმა'!$W21)=0,COUNTIF('მომწოდებლის ფორმა'!$U$4:$U21,'მომწოდებლის ფორმა'!$U21)&gt;1,SUMIF('მომწოდებლის ფორმა'!$U$4:$U$27,'მომწოდებლის ფორმა'!$U21,'მომწოდებლის ფორმა'!B$4:B$27)&lt;=0),0,30/'მომწოდებლის ფორმა'!$W21)</f>
        <v>0</v>
      </c>
      <c r="C77" s="46">
        <f>IF(OR('მომწოდებლის ფორმა'!$U21="",N('მომწოდებლის ფორმა'!$W21)=0,COUNTIF('მომწოდებლის ფორმა'!$U$4:$U21,'მომწოდებლის ფორმა'!$U21)&gt;1,SUMIF('მომწოდებლის ფორმა'!$U$4:$U$27,'მომწოდებლის ფორმა'!$U21,'მომწოდებლის ფორმა'!C$4:C$27)&lt;=0),0,30/'მომწოდებლის ფორმა'!$W21)</f>
        <v>0</v>
      </c>
      <c r="D77" s="46">
        <f>IF(OR('მომწოდებლის ფორმა'!$U21="",N('მომწოდებლის ფორმა'!$W21)=0,COUNTIF('მომწოდებლის ფორმა'!$U$4:$U21,'მომწოდებლის ფორმა'!$U21)&gt;1,SUMIF('მომწოდებლის ფორმა'!$U$4:$U$27,'მომწოდებლის ფორმა'!$U21,'მომწოდებლის ფორმა'!D$4:D$27)&lt;=0),0,30/'მომწოდებლის ფორმა'!$W21)</f>
        <v>0</v>
      </c>
      <c r="E77" s="46">
        <f>IF(OR('მომწოდებლის ფორმა'!$U21="",N('მომწოდებლის ფორმა'!$W21)=0,COUNTIF('მომწოდებლის ფორმა'!$U$4:$U21,'მომწოდებლის ფორმა'!$U21)&gt;1,SUMIF('მომწოდებლის ფორმა'!$U$4:$U$27,'მომწოდებლის ფორმა'!$U21,'მომწოდებლის ფორმა'!E$4:E$27)&lt;=0),0,30/'მომწოდებლის ფორმა'!$W21)</f>
        <v>0</v>
      </c>
      <c r="F77" s="46">
        <f>IF(OR('მომწოდებლის ფორმა'!$U21="",N('მომწოდებლის ფორმა'!$W21)=0,COUNTIF('მომწოდებლის ფორმა'!$U$4:$U21,'მომწოდებლის ფორმა'!$U21)&gt;1,SUMIF('მომწოდებლის ფორმა'!$U$4:$U$27,'მომწოდებლის ფორმა'!$U21,'მომწოდებლის ფორმა'!F$4:F$27)&lt;=0),0,30/'მომწოდებლის ფორმა'!$W21)</f>
        <v>0</v>
      </c>
      <c r="G77" s="46">
        <f>IF(OR('მომწოდებლის ფორმა'!$U21="",N('მომწოდებლის ფორმა'!$W21)=0,COUNTIF('მომწოდებლის ფორმა'!$U$4:$U21,'მომწოდებლის ფორმა'!$U21)&gt;1,SUMIF('მომწოდებლის ფორმა'!$U$4:$U$27,'მომწოდებლის ფორმა'!$U21,'მომწოდებლის ფორმა'!G$4:G$27)&lt;=0),0,30/'მომწოდებლის ფორმა'!$W21)</f>
        <v>0</v>
      </c>
      <c r="H77" s="46">
        <f>IF(OR('მომწოდებლის ფორმა'!$U21="",N('მომწოდებლის ფორმა'!$W21)=0,COUNTIF('მომწოდებლის ფორმა'!$U$4:$U21,'მომწოდებლის ფორმა'!$U21)&gt;1,SUMIF('მომწოდებლის ფორმა'!$U$4:$U$27,'მომწოდებლის ფორმა'!$U21,'მომწოდებლის ფორმა'!H$4:H$27)&lt;=0),0,30/'მომწოდებლის ფორმა'!$W21)</f>
        <v>0</v>
      </c>
      <c r="I77" s="46">
        <f>IF(OR('მომწოდებლის ფორმა'!$U21="",N('მომწოდებლის ფორმა'!$W21)=0,COUNTIF('მომწოდებლის ფორმა'!$U$4:$U21,'მომწოდებლის ფორმა'!$U21)&gt;1,SUMIF('მომწოდებლის ფორმა'!$U$4:$U$27,'მომწოდებლის ფორმა'!$U21,'მომწოდებლის ფორმა'!I$4:I$27)&lt;=0),0,30/'მომწოდებლის ფორმა'!$W21)</f>
        <v>0</v>
      </c>
      <c r="J77" s="46">
        <f t="shared" si="5"/>
        <v>0</v>
      </c>
      <c r="K77" s="44">
        <f t="shared" si="6"/>
        <v>0</v>
      </c>
      <c r="L77" s="45">
        <f>N('მომწოდებლის ფორმა'!$V21)*N('მომწოდებლის ფორმა'!$AB21)</f>
        <v>0</v>
      </c>
      <c r="M77" s="45">
        <f t="shared" si="7"/>
        <v>0</v>
      </c>
      <c r="N77" s="45">
        <f>M77*'ფასი კლინიკებით'!$B$32</f>
        <v>0</v>
      </c>
    </row>
    <row r="78" spans="1:14" x14ac:dyDescent="0.3">
      <c r="A78" s="42" t="str">
        <f>'მომწოდებლის ფორმა'!A22</f>
        <v>სრული ქოლესტეროლი TC G1</v>
      </c>
      <c r="B78" s="46">
        <f>IF(OR('მომწოდებლის ფორმა'!$U22="",N('მომწოდებლის ფორმა'!$W22)=0,COUNTIF('მომწოდებლის ფორმა'!$U$4:$U22,'მომწოდებლის ფორმა'!$U22)&gt;1,SUMIF('მომწოდებლის ფორმა'!$U$4:$U$27,'მომწოდებლის ფორმა'!$U22,'მომწოდებლის ფორმა'!B$4:B$27)&lt;=0),0,30/'მომწოდებლის ფორმა'!$W22)</f>
        <v>0</v>
      </c>
      <c r="C78" s="46">
        <f>IF(OR('მომწოდებლის ფორმა'!$U22="",N('მომწოდებლის ფორმა'!$W22)=0,COUNTIF('მომწოდებლის ფორმა'!$U$4:$U22,'მომწოდებლის ფორმა'!$U22)&gt;1,SUMIF('მომწოდებლის ფორმა'!$U$4:$U$27,'მომწოდებლის ფორმა'!$U22,'მომწოდებლის ფორმა'!C$4:C$27)&lt;=0),0,30/'მომწოდებლის ფორმა'!$W22)</f>
        <v>0</v>
      </c>
      <c r="D78" s="46">
        <f>IF(OR('მომწოდებლის ფორმა'!$U22="",N('მომწოდებლის ფორმა'!$W22)=0,COUNTIF('მომწოდებლის ფორმა'!$U$4:$U22,'მომწოდებლის ფორმა'!$U22)&gt;1,SUMIF('მომწოდებლის ფორმა'!$U$4:$U$27,'მომწოდებლის ფორმა'!$U22,'მომწოდებლის ფორმა'!D$4:D$27)&lt;=0),0,30/'მომწოდებლის ფორმა'!$W22)</f>
        <v>0</v>
      </c>
      <c r="E78" s="46">
        <f>IF(OR('მომწოდებლის ფორმა'!$U22="",N('მომწოდებლის ფორმა'!$W22)=0,COUNTIF('მომწოდებლის ფორმა'!$U$4:$U22,'მომწოდებლის ფორმა'!$U22)&gt;1,SUMIF('მომწოდებლის ფორმა'!$U$4:$U$27,'მომწოდებლის ფორმა'!$U22,'მომწოდებლის ფორმა'!E$4:E$27)&lt;=0),0,30/'მომწოდებლის ფორმა'!$W22)</f>
        <v>0</v>
      </c>
      <c r="F78" s="46">
        <f>IF(OR('მომწოდებლის ფორმა'!$U22="",N('მომწოდებლის ფორმა'!$W22)=0,COUNTIF('მომწოდებლის ფორმა'!$U$4:$U22,'მომწოდებლის ფორმა'!$U22)&gt;1,SUMIF('მომწოდებლის ფორმა'!$U$4:$U$27,'მომწოდებლის ფორმა'!$U22,'მომწოდებლის ფორმა'!F$4:F$27)&lt;=0),0,30/'მომწოდებლის ფორმა'!$W22)</f>
        <v>0</v>
      </c>
      <c r="G78" s="46">
        <f>IF(OR('მომწოდებლის ფორმა'!$U22="",N('მომწოდებლის ფორმა'!$W22)=0,COUNTIF('მომწოდებლის ფორმა'!$U$4:$U22,'მომწოდებლის ფორმა'!$U22)&gt;1,SUMIF('მომწოდებლის ფორმა'!$U$4:$U$27,'მომწოდებლის ფორმა'!$U22,'მომწოდებლის ფორმა'!G$4:G$27)&lt;=0),0,30/'მომწოდებლის ფორმა'!$W22)</f>
        <v>0</v>
      </c>
      <c r="H78" s="46">
        <f>IF(OR('მომწოდებლის ფორმა'!$U22="",N('მომწოდებლის ფორმა'!$W22)=0,COUNTIF('მომწოდებლის ფორმა'!$U$4:$U22,'მომწოდებლის ფორმა'!$U22)&gt;1,SUMIF('მომწოდებლის ფორმა'!$U$4:$U$27,'მომწოდებლის ფორმა'!$U22,'მომწოდებლის ფორმა'!H$4:H$27)&lt;=0),0,30/'მომწოდებლის ფორმა'!$W22)</f>
        <v>0</v>
      </c>
      <c r="I78" s="46">
        <f>IF(OR('მომწოდებლის ფორმა'!$U22="",N('მომწოდებლის ფორმა'!$W22)=0,COUNTIF('მომწოდებლის ფორმა'!$U$4:$U22,'მომწოდებლის ფორმა'!$U22)&gt;1,SUMIF('მომწოდებლის ფორმა'!$U$4:$U$27,'მომწოდებლის ფორმა'!$U22,'მომწოდებლის ფორმა'!I$4:I$27)&lt;=0),0,30/'მომწოდებლის ფორმა'!$W22)</f>
        <v>0</v>
      </c>
      <c r="J78" s="46">
        <f t="shared" si="5"/>
        <v>0</v>
      </c>
      <c r="K78" s="44">
        <f t="shared" si="6"/>
        <v>0</v>
      </c>
      <c r="L78" s="45">
        <f>N('მომწოდებლის ფორმა'!$V22)*N('მომწოდებლის ფორმა'!$AB22)</f>
        <v>0</v>
      </c>
      <c r="M78" s="45">
        <f t="shared" si="7"/>
        <v>0</v>
      </c>
      <c r="N78" s="45">
        <f>M78*'ფასი კლინიკებით'!$B$32</f>
        <v>0</v>
      </c>
    </row>
    <row r="79" spans="1:14" x14ac:dyDescent="0.3">
      <c r="A79" s="42" t="str">
        <f>'მომწოდებლის ფორმა'!A23</f>
        <v>მაგნიუმი Mg</v>
      </c>
      <c r="B79" s="46">
        <f>IF(OR('მომწოდებლის ფორმა'!$U23="",N('მომწოდებლის ფორმა'!$W23)=0,COUNTIF('მომწოდებლის ფორმა'!$U$4:$U23,'მომწოდებლის ფორმა'!$U23)&gt;1,SUMIF('მომწოდებლის ფორმა'!$U$4:$U$27,'მომწოდებლის ფორმა'!$U23,'მომწოდებლის ფორმა'!B$4:B$27)&lt;=0),0,30/'მომწოდებლის ფორმა'!$W23)</f>
        <v>0</v>
      </c>
      <c r="C79" s="46">
        <f>IF(OR('მომწოდებლის ფორმა'!$U23="",N('მომწოდებლის ფორმა'!$W23)=0,COUNTIF('მომწოდებლის ფორმა'!$U$4:$U23,'მომწოდებლის ფორმა'!$U23)&gt;1,SUMIF('მომწოდებლის ფორმა'!$U$4:$U$27,'მომწოდებლის ფორმა'!$U23,'მომწოდებლის ფორმა'!C$4:C$27)&lt;=0),0,30/'მომწოდებლის ფორმა'!$W23)</f>
        <v>0</v>
      </c>
      <c r="D79" s="46">
        <f>IF(OR('მომწოდებლის ფორმა'!$U23="",N('მომწოდებლის ფორმა'!$W23)=0,COUNTIF('მომწოდებლის ფორმა'!$U$4:$U23,'მომწოდებლის ფორმა'!$U23)&gt;1,SUMIF('მომწოდებლის ფორმა'!$U$4:$U$27,'მომწოდებლის ფორმა'!$U23,'მომწოდებლის ფორმა'!D$4:D$27)&lt;=0),0,30/'მომწოდებლის ფორმა'!$W23)</f>
        <v>0</v>
      </c>
      <c r="E79" s="46">
        <f>IF(OR('მომწოდებლის ფორმა'!$U23="",N('მომწოდებლის ფორმა'!$W23)=0,COUNTIF('მომწოდებლის ფორმა'!$U$4:$U23,'მომწოდებლის ფორმა'!$U23)&gt;1,SUMIF('მომწოდებლის ფორმა'!$U$4:$U$27,'მომწოდებლის ფორმა'!$U23,'მომწოდებლის ფორმა'!E$4:E$27)&lt;=0),0,30/'მომწოდებლის ფორმა'!$W23)</f>
        <v>0</v>
      </c>
      <c r="F79" s="46">
        <f>IF(OR('მომწოდებლის ფორმა'!$U23="",N('მომწოდებლის ფორმა'!$W23)=0,COUNTIF('მომწოდებლის ფორმა'!$U$4:$U23,'მომწოდებლის ფორმა'!$U23)&gt;1,SUMIF('მომწოდებლის ფორმა'!$U$4:$U$27,'მომწოდებლის ფორმა'!$U23,'მომწოდებლის ფორმა'!F$4:F$27)&lt;=0),0,30/'მომწოდებლის ფორმა'!$W23)</f>
        <v>0</v>
      </c>
      <c r="G79" s="46">
        <f>IF(OR('მომწოდებლის ფორმა'!$U23="",N('მომწოდებლის ფორმა'!$W23)=0,COUNTIF('მომწოდებლის ფორმა'!$U$4:$U23,'მომწოდებლის ფორმა'!$U23)&gt;1,SUMIF('მომწოდებლის ფორმა'!$U$4:$U$27,'მომწოდებლის ფორმა'!$U23,'მომწოდებლის ფორმა'!G$4:G$27)&lt;=0),0,30/'მომწოდებლის ფორმა'!$W23)</f>
        <v>0</v>
      </c>
      <c r="H79" s="46">
        <f>IF(OR('მომწოდებლის ფორმა'!$U23="",N('მომწოდებლის ფორმა'!$W23)=0,COUNTIF('მომწოდებლის ფორმა'!$U$4:$U23,'მომწოდებლის ფორმა'!$U23)&gt;1,SUMIF('მომწოდებლის ფორმა'!$U$4:$U$27,'მომწოდებლის ფორმა'!$U23,'მომწოდებლის ფორმა'!H$4:H$27)&lt;=0),0,30/'მომწოდებლის ფორმა'!$W23)</f>
        <v>0</v>
      </c>
      <c r="I79" s="46">
        <f>IF(OR('მომწოდებლის ფორმა'!$U23="",N('მომწოდებლის ფორმა'!$W23)=0,COUNTIF('მომწოდებლის ფორმა'!$U$4:$U23,'მომწოდებლის ფორმა'!$U23)&gt;1,SUMIF('მომწოდებლის ფორმა'!$U$4:$U$27,'მომწოდებლის ფორმა'!$U23,'მომწოდებლის ფორმა'!I$4:I$27)&lt;=0),0,30/'მომწოდებლის ფორმა'!$W23)</f>
        <v>0</v>
      </c>
      <c r="J79" s="46">
        <f t="shared" si="5"/>
        <v>0</v>
      </c>
      <c r="K79" s="44">
        <f t="shared" si="6"/>
        <v>0</v>
      </c>
      <c r="L79" s="45">
        <f>N('მომწოდებლის ფორმა'!$V23)*N('მომწოდებლის ფორმა'!$AB23)</f>
        <v>0</v>
      </c>
      <c r="M79" s="45">
        <f t="shared" si="7"/>
        <v>0</v>
      </c>
      <c r="N79" s="45">
        <f>M79*'ფასი კლინიკებით'!$B$32</f>
        <v>0</v>
      </c>
    </row>
    <row r="80" spans="1:14" x14ac:dyDescent="0.3">
      <c r="A80" s="42" t="str">
        <f>'მომწოდებლის ფორმა'!A24</f>
        <v>კალციუმი Ca G1</v>
      </c>
      <c r="B80" s="46">
        <f>IF(OR('მომწოდებლის ფორმა'!$U24="",N('მომწოდებლის ფორმა'!$W24)=0,COUNTIF('მომწოდებლის ფორმა'!$U$4:$U24,'მომწოდებლის ფორმა'!$U24)&gt;1,SUMIF('მომწოდებლის ფორმა'!$U$4:$U$27,'მომწოდებლის ფორმა'!$U24,'მომწოდებლის ფორმა'!B$4:B$27)&lt;=0),0,30/'მომწოდებლის ფორმა'!$W24)</f>
        <v>0</v>
      </c>
      <c r="C80" s="46">
        <f>IF(OR('მომწოდებლის ფორმა'!$U24="",N('მომწოდებლის ფორმა'!$W24)=0,COUNTIF('მომწოდებლის ფორმა'!$U$4:$U24,'მომწოდებლის ფორმა'!$U24)&gt;1,SUMIF('მომწოდებლის ფორმა'!$U$4:$U$27,'მომწოდებლის ფორმა'!$U24,'მომწოდებლის ფორმა'!C$4:C$27)&lt;=0),0,30/'მომწოდებლის ფორმა'!$W24)</f>
        <v>0</v>
      </c>
      <c r="D80" s="46">
        <f>IF(OR('მომწოდებლის ფორმა'!$U24="",N('მომწოდებლის ფორმა'!$W24)=0,COUNTIF('მომწოდებლის ფორმა'!$U$4:$U24,'მომწოდებლის ფორმა'!$U24)&gt;1,SUMIF('მომწოდებლის ფორმა'!$U$4:$U$27,'მომწოდებლის ფორმა'!$U24,'მომწოდებლის ფორმა'!D$4:D$27)&lt;=0),0,30/'მომწოდებლის ფორმა'!$W24)</f>
        <v>0</v>
      </c>
      <c r="E80" s="46">
        <f>IF(OR('მომწოდებლის ფორმა'!$U24="",N('მომწოდებლის ფორმა'!$W24)=0,COUNTIF('მომწოდებლის ფორმა'!$U$4:$U24,'მომწოდებლის ფორმა'!$U24)&gt;1,SUMIF('მომწოდებლის ფორმა'!$U$4:$U$27,'მომწოდებლის ფორმა'!$U24,'მომწოდებლის ფორმა'!E$4:E$27)&lt;=0),0,30/'მომწოდებლის ფორმა'!$W24)</f>
        <v>0</v>
      </c>
      <c r="F80" s="46">
        <f>IF(OR('მომწოდებლის ფორმა'!$U24="",N('მომწოდებლის ფორმა'!$W24)=0,COUNTIF('მომწოდებლის ფორმა'!$U$4:$U24,'მომწოდებლის ფორმა'!$U24)&gt;1,SUMIF('მომწოდებლის ფორმა'!$U$4:$U$27,'მომწოდებლის ფორმა'!$U24,'მომწოდებლის ფორმა'!F$4:F$27)&lt;=0),0,30/'მომწოდებლის ფორმა'!$W24)</f>
        <v>0</v>
      </c>
      <c r="G80" s="46">
        <f>IF(OR('მომწოდებლის ფორმა'!$U24="",N('მომწოდებლის ფორმა'!$W24)=0,COUNTIF('მომწოდებლის ფორმა'!$U$4:$U24,'მომწოდებლის ფორმა'!$U24)&gt;1,SUMIF('მომწოდებლის ფორმა'!$U$4:$U$27,'მომწოდებლის ფორმა'!$U24,'მომწოდებლის ფორმა'!G$4:G$27)&lt;=0),0,30/'მომწოდებლის ფორმა'!$W24)</f>
        <v>0</v>
      </c>
      <c r="H80" s="46">
        <f>IF(OR('მომწოდებლის ფორმა'!$U24="",N('მომწოდებლის ფორმა'!$W24)=0,COUNTIF('მომწოდებლის ფორმა'!$U$4:$U24,'მომწოდებლის ფორმა'!$U24)&gt;1,SUMIF('მომწოდებლის ფორმა'!$U$4:$U$27,'მომწოდებლის ფორმა'!$U24,'მომწოდებლის ფორმა'!H$4:H$27)&lt;=0),0,30/'მომწოდებლის ფორმა'!$W24)</f>
        <v>0</v>
      </c>
      <c r="I80" s="46">
        <f>IF(OR('მომწოდებლის ფორმა'!$U24="",N('მომწოდებლის ფორმა'!$W24)=0,COUNTIF('მომწოდებლის ფორმა'!$U$4:$U24,'მომწოდებლის ფორმა'!$U24)&gt;1,SUMIF('მომწოდებლის ფორმა'!$U$4:$U$27,'მომწოდებლის ფორმა'!$U24,'მომწოდებლის ფორმა'!I$4:I$27)&lt;=0),0,30/'მომწოდებლის ფორმა'!$W24)</f>
        <v>0</v>
      </c>
      <c r="J80" s="46">
        <f t="shared" si="5"/>
        <v>0</v>
      </c>
      <c r="K80" s="44">
        <f t="shared" si="6"/>
        <v>0</v>
      </c>
      <c r="L80" s="45">
        <f>N('მომწოდებლის ფორმა'!$V24)*N('მომწოდებლის ფორმა'!$AB24)</f>
        <v>0</v>
      </c>
      <c r="M80" s="45">
        <f t="shared" si="7"/>
        <v>0</v>
      </c>
      <c r="N80" s="45">
        <f>M80*'ფასი კლინიკებით'!$B$32</f>
        <v>0</v>
      </c>
    </row>
    <row r="81" spans="1:14" x14ac:dyDescent="0.3">
      <c r="A81" s="42" t="str">
        <f>'მომწოდებლის ფორმა'!A25</f>
        <v>არაორგანული ფოსფორი PHOS G1</v>
      </c>
      <c r="B81" s="46">
        <f>IF(OR('მომწოდებლის ფორმა'!$U25="",N('მომწოდებლის ფორმა'!$W25)=0,COUNTIF('მომწოდებლის ფორმა'!$U$4:$U25,'მომწოდებლის ფორმა'!$U25)&gt;1,SUMIF('მომწოდებლის ფორმა'!$U$4:$U$27,'მომწოდებლის ფორმა'!$U25,'მომწოდებლის ფორმა'!B$4:B$27)&lt;=0),0,30/'მომწოდებლის ფორმა'!$W25)</f>
        <v>0</v>
      </c>
      <c r="C81" s="46">
        <f>IF(OR('მომწოდებლის ფორმა'!$U25="",N('მომწოდებლის ფორმა'!$W25)=0,COUNTIF('მომწოდებლის ფორმა'!$U$4:$U25,'მომწოდებლის ფორმა'!$U25)&gt;1,SUMIF('მომწოდებლის ფორმა'!$U$4:$U$27,'მომწოდებლის ფორმა'!$U25,'მომწოდებლის ფორმა'!C$4:C$27)&lt;=0),0,30/'მომწოდებლის ფორმა'!$W25)</f>
        <v>0</v>
      </c>
      <c r="D81" s="46">
        <f>IF(OR('მომწოდებლის ფორმა'!$U25="",N('მომწოდებლის ფორმა'!$W25)=0,COUNTIF('მომწოდებლის ფორმა'!$U$4:$U25,'მომწოდებლის ფორმა'!$U25)&gt;1,SUMIF('მომწოდებლის ფორმა'!$U$4:$U$27,'მომწოდებლის ფორმა'!$U25,'მომწოდებლის ფორმა'!D$4:D$27)&lt;=0),0,30/'მომწოდებლის ფორმა'!$W25)</f>
        <v>0</v>
      </c>
      <c r="E81" s="46">
        <f>IF(OR('მომწოდებლის ფორმა'!$U25="",N('მომწოდებლის ფორმა'!$W25)=0,COUNTIF('მომწოდებლის ფორმა'!$U$4:$U25,'მომწოდებლის ფორმა'!$U25)&gt;1,SUMIF('მომწოდებლის ფორმა'!$U$4:$U$27,'მომწოდებლის ფორმა'!$U25,'მომწოდებლის ფორმა'!E$4:E$27)&lt;=0),0,30/'მომწოდებლის ფორმა'!$W25)</f>
        <v>0</v>
      </c>
      <c r="F81" s="46">
        <f>IF(OR('მომწოდებლის ფორმა'!$U25="",N('მომწოდებლის ფორმა'!$W25)=0,COUNTIF('მომწოდებლის ფორმა'!$U$4:$U25,'მომწოდებლის ფორმა'!$U25)&gt;1,SUMIF('მომწოდებლის ფორმა'!$U$4:$U$27,'მომწოდებლის ფორმა'!$U25,'მომწოდებლის ფორმა'!F$4:F$27)&lt;=0),0,30/'მომწოდებლის ფორმა'!$W25)</f>
        <v>0</v>
      </c>
      <c r="G81" s="46">
        <f>IF(OR('მომწოდებლის ფორმა'!$U25="",N('მომწოდებლის ფორმა'!$W25)=0,COUNTIF('მომწოდებლის ფორმა'!$U$4:$U25,'მომწოდებლის ფორმა'!$U25)&gt;1,SUMIF('მომწოდებლის ფორმა'!$U$4:$U$27,'მომწოდებლის ფორმა'!$U25,'მომწოდებლის ფორმა'!G$4:G$27)&lt;=0),0,30/'მომწოდებლის ფორმა'!$W25)</f>
        <v>0</v>
      </c>
      <c r="H81" s="46">
        <f>IF(OR('მომწოდებლის ფორმა'!$U25="",N('მომწოდებლის ფორმა'!$W25)=0,COUNTIF('მომწოდებლის ფორმა'!$U$4:$U25,'მომწოდებლის ფორმა'!$U25)&gt;1,SUMIF('მომწოდებლის ფორმა'!$U$4:$U$27,'მომწოდებლის ფორმა'!$U25,'მომწოდებლის ფორმა'!H$4:H$27)&lt;=0),0,30/'მომწოდებლის ფორმა'!$W25)</f>
        <v>0</v>
      </c>
      <c r="I81" s="46">
        <f>IF(OR('მომწოდებლის ფორმა'!$U25="",N('მომწოდებლის ფორმა'!$W25)=0,COUNTIF('მომწოდებლის ფორმა'!$U$4:$U25,'მომწოდებლის ფორმა'!$U25)&gt;1,SUMIF('მომწოდებლის ფორმა'!$U$4:$U$27,'მომწოდებლის ფორმა'!$U25,'მომწოდებლის ფორმა'!I$4:I$27)&lt;=0),0,30/'მომწოდებლის ფორმა'!$W25)</f>
        <v>0</v>
      </c>
      <c r="J81" s="46">
        <f t="shared" si="5"/>
        <v>0</v>
      </c>
      <c r="K81" s="44">
        <f t="shared" si="6"/>
        <v>0</v>
      </c>
      <c r="L81" s="45">
        <f>N('მომწოდებლის ფორმა'!$V25)*N('მომწოდებლის ფორმა'!$AB25)</f>
        <v>0</v>
      </c>
      <c r="M81" s="45">
        <f t="shared" si="7"/>
        <v>0</v>
      </c>
      <c r="N81" s="45">
        <f>M81*'ფასი კლინიკებით'!$B$32</f>
        <v>0</v>
      </c>
    </row>
    <row r="82" spans="1:14" x14ac:dyDescent="0.3">
      <c r="A82" s="42" t="str">
        <f>'მომწოდებლის ფორმა'!A26</f>
        <v>რევმატოიდული ფაქტორი RF</v>
      </c>
      <c r="B82" s="46">
        <f>IF(OR('მომწოდებლის ფორმა'!$U26="",N('მომწოდებლის ფორმა'!$W26)=0,COUNTIF('მომწოდებლის ფორმა'!$U$4:$U26,'მომწოდებლის ფორმა'!$U26)&gt;1,SUMIF('მომწოდებლის ფორმა'!$U$4:$U$27,'მომწოდებლის ფორმა'!$U26,'მომწოდებლის ფორმა'!B$4:B$27)&lt;=0),0,30/'მომწოდებლის ფორმა'!$W26)</f>
        <v>0</v>
      </c>
      <c r="C82" s="46">
        <f>IF(OR('მომწოდებლის ფორმა'!$U26="",N('მომწოდებლის ფორმა'!$W26)=0,COUNTIF('მომწოდებლის ფორმა'!$U$4:$U26,'მომწოდებლის ფორმა'!$U26)&gt;1,SUMIF('მომწოდებლის ფორმა'!$U$4:$U$27,'მომწოდებლის ფორმა'!$U26,'მომწოდებლის ფორმა'!C$4:C$27)&lt;=0),0,30/'მომწოდებლის ფორმა'!$W26)</f>
        <v>0</v>
      </c>
      <c r="D82" s="46">
        <f>IF(OR('მომწოდებლის ფორმა'!$U26="",N('მომწოდებლის ფორმა'!$W26)=0,COUNTIF('მომწოდებლის ფორმა'!$U$4:$U26,'მომწოდებლის ფორმა'!$U26)&gt;1,SUMIF('მომწოდებლის ფორმა'!$U$4:$U$27,'მომწოდებლის ფორმა'!$U26,'მომწოდებლის ფორმა'!D$4:D$27)&lt;=0),0,30/'მომწოდებლის ფორმა'!$W26)</f>
        <v>0</v>
      </c>
      <c r="E82" s="46">
        <f>IF(OR('მომწოდებლის ფორმა'!$U26="",N('მომწოდებლის ფორმა'!$W26)=0,COUNTIF('მომწოდებლის ფორმა'!$U$4:$U26,'მომწოდებლის ფორმა'!$U26)&gt;1,SUMIF('მომწოდებლის ფორმა'!$U$4:$U$27,'მომწოდებლის ფორმა'!$U26,'მომწოდებლის ფორმა'!E$4:E$27)&lt;=0),0,30/'მომწოდებლის ფორმა'!$W26)</f>
        <v>0</v>
      </c>
      <c r="F82" s="46">
        <f>IF(OR('მომწოდებლის ფორმა'!$U26="",N('მომწოდებლის ფორმა'!$W26)=0,COUNTIF('მომწოდებლის ფორმა'!$U$4:$U26,'მომწოდებლის ფორმა'!$U26)&gt;1,SUMIF('მომწოდებლის ფორმა'!$U$4:$U$27,'მომწოდებლის ფორმა'!$U26,'მომწოდებლის ფორმა'!F$4:F$27)&lt;=0),0,30/'მომწოდებლის ფორმა'!$W26)</f>
        <v>0</v>
      </c>
      <c r="G82" s="46">
        <f>IF(OR('მომწოდებლის ფორმა'!$U26="",N('მომწოდებლის ფორმა'!$W26)=0,COUNTIF('მომწოდებლის ფორმა'!$U$4:$U26,'მომწოდებლის ფორმა'!$U26)&gt;1,SUMIF('მომწოდებლის ფორმა'!$U$4:$U$27,'მომწოდებლის ფორმა'!$U26,'მომწოდებლის ფორმა'!G$4:G$27)&lt;=0),0,30/'მომწოდებლის ფორმა'!$W26)</f>
        <v>0</v>
      </c>
      <c r="H82" s="46">
        <f>IF(OR('მომწოდებლის ფორმა'!$U26="",N('მომწოდებლის ფორმა'!$W26)=0,COUNTIF('მომწოდებლის ფორმა'!$U$4:$U26,'მომწოდებლის ფორმა'!$U26)&gt;1,SUMIF('მომწოდებლის ფორმა'!$U$4:$U$27,'მომწოდებლის ფორმა'!$U26,'მომწოდებლის ფორმა'!H$4:H$27)&lt;=0),0,30/'მომწოდებლის ფორმა'!$W26)</f>
        <v>0</v>
      </c>
      <c r="I82" s="46">
        <f>IF(OR('მომწოდებლის ფორმა'!$U26="",N('მომწოდებლის ფორმა'!$W26)=0,COUNTIF('მომწოდებლის ფორმა'!$U$4:$U26,'მომწოდებლის ფორმა'!$U26)&gt;1,SUMIF('მომწოდებლის ფორმა'!$U$4:$U$27,'მომწოდებლის ფორმა'!$U26,'მომწოდებლის ფორმა'!I$4:I$27)&lt;=0),0,30/'მომწოდებლის ფორმა'!$W26)</f>
        <v>0</v>
      </c>
      <c r="J82" s="46">
        <f t="shared" si="5"/>
        <v>0</v>
      </c>
      <c r="K82" s="44">
        <f t="shared" si="6"/>
        <v>0</v>
      </c>
      <c r="L82" s="45">
        <f>N('მომწოდებლის ფორმა'!$V26)*N('მომწოდებლის ფორმა'!$AB26)</f>
        <v>0</v>
      </c>
      <c r="M82" s="45">
        <f t="shared" si="7"/>
        <v>0</v>
      </c>
      <c r="N82" s="45">
        <f>M82*'ფასი კლინიკებით'!$B$32</f>
        <v>0</v>
      </c>
    </row>
    <row r="83" spans="1:14" x14ac:dyDescent="0.3">
      <c r="A83" s="42" t="str">
        <f>'მომწოდებლის ფორმა'!A27</f>
        <v>ანტისტრეპტოლიზინი - O  ASLO</v>
      </c>
      <c r="B83" s="46">
        <f>IF(OR('მომწოდებლის ფორმა'!$U27="",N('მომწოდებლის ფორმა'!$W27)=0,COUNTIF('მომწოდებლის ფორმა'!$U$4:$U27,'მომწოდებლის ფორმა'!$U27)&gt;1,SUMIF('მომწოდებლის ფორმა'!$U$4:$U$27,'მომწოდებლის ფორმა'!$U27,'მომწოდებლის ფორმა'!B$4:B$27)&lt;=0),0,30/'მომწოდებლის ფორმა'!$W27)</f>
        <v>0</v>
      </c>
      <c r="C83" s="46">
        <f>IF(OR('მომწოდებლის ფორმა'!$U27="",N('მომწოდებლის ფორმა'!$W27)=0,COUNTIF('მომწოდებლის ფორმა'!$U$4:$U27,'მომწოდებლის ფორმა'!$U27)&gt;1,SUMIF('მომწოდებლის ფორმა'!$U$4:$U$27,'მომწოდებლის ფორმა'!$U27,'მომწოდებლის ფორმა'!C$4:C$27)&lt;=0),0,30/'მომწოდებლის ფორმა'!$W27)</f>
        <v>0</v>
      </c>
      <c r="D83" s="46">
        <f>IF(OR('მომწოდებლის ფორმა'!$U27="",N('მომწოდებლის ფორმა'!$W27)=0,COUNTIF('მომწოდებლის ფორმა'!$U$4:$U27,'მომწოდებლის ფორმა'!$U27)&gt;1,SUMIF('მომწოდებლის ფორმა'!$U$4:$U$27,'მომწოდებლის ფორმა'!$U27,'მომწოდებლის ფორმა'!D$4:D$27)&lt;=0),0,30/'მომწოდებლის ფორმა'!$W27)</f>
        <v>0</v>
      </c>
      <c r="E83" s="46">
        <f>IF(OR('მომწოდებლის ფორმა'!$U27="",N('მომწოდებლის ფორმა'!$W27)=0,COUNTIF('მომწოდებლის ფორმა'!$U$4:$U27,'მომწოდებლის ფორმა'!$U27)&gt;1,SUMIF('მომწოდებლის ფორმა'!$U$4:$U$27,'მომწოდებლის ფორმა'!$U27,'მომწოდებლის ფორმა'!E$4:E$27)&lt;=0),0,30/'მომწოდებლის ფორმა'!$W27)</f>
        <v>0</v>
      </c>
      <c r="F83" s="46">
        <f>IF(OR('მომწოდებლის ფორმა'!$U27="",N('მომწოდებლის ფორმა'!$W27)=0,COUNTIF('მომწოდებლის ფორმა'!$U$4:$U27,'მომწოდებლის ფორმა'!$U27)&gt;1,SUMIF('მომწოდებლის ფორმა'!$U$4:$U$27,'მომწოდებლის ფორმა'!$U27,'მომწოდებლის ფორმა'!F$4:F$27)&lt;=0),0,30/'მომწოდებლის ფორმა'!$W27)</f>
        <v>0</v>
      </c>
      <c r="G83" s="46">
        <f>IF(OR('მომწოდებლის ფორმა'!$U27="",N('მომწოდებლის ფორმა'!$W27)=0,COUNTIF('მომწოდებლის ფორმა'!$U$4:$U27,'მომწოდებლის ფორმა'!$U27)&gt;1,SUMIF('მომწოდებლის ფორმა'!$U$4:$U$27,'მომწოდებლის ფორმა'!$U27,'მომწოდებლის ფორმა'!G$4:G$27)&lt;=0),0,30/'მომწოდებლის ფორმა'!$W27)</f>
        <v>0</v>
      </c>
      <c r="H83" s="46">
        <f>IF(OR('მომწოდებლის ფორმა'!$U27="",N('მომწოდებლის ფორმა'!$W27)=0,COUNTIF('მომწოდებლის ფორმა'!$U$4:$U27,'მომწოდებლის ფორმა'!$U27)&gt;1,SUMIF('მომწოდებლის ფორმა'!$U$4:$U$27,'მომწოდებლის ფორმა'!$U27,'მომწოდებლის ფორმა'!H$4:H$27)&lt;=0),0,30/'მომწოდებლის ფორმა'!$W27)</f>
        <v>0</v>
      </c>
      <c r="I83" s="46">
        <f>IF(OR('მომწოდებლის ფორმა'!$U27="",N('მომწოდებლის ფორმა'!$W27)=0,COUNTIF('მომწოდებლის ფორმა'!$U$4:$U27,'მომწოდებლის ფორმა'!$U27)&gt;1,SUMIF('მომწოდებლის ფორმა'!$U$4:$U$27,'მომწოდებლის ფორმა'!$U27,'მომწოდებლის ფორმა'!I$4:I$27)&lt;=0),0,30/'მომწოდებლის ფორმა'!$W27)</f>
        <v>0</v>
      </c>
      <c r="J83" s="46">
        <f t="shared" si="5"/>
        <v>0</v>
      </c>
      <c r="K83" s="44">
        <f t="shared" si="6"/>
        <v>0</v>
      </c>
      <c r="L83" s="45">
        <f>N('მომწოდებლის ფორმა'!$V27)*N('მომწოდებლის ფორმა'!$AB27)</f>
        <v>0</v>
      </c>
      <c r="M83" s="45">
        <f t="shared" si="7"/>
        <v>0</v>
      </c>
      <c r="N83" s="45">
        <f>M83*'ფასი კლინიკებით'!$B$32</f>
        <v>0</v>
      </c>
    </row>
    <row r="85" spans="1:14" x14ac:dyDescent="0.3">
      <c r="A85" s="39" t="s">
        <v>126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</row>
    <row r="86" spans="1:14" ht="45" customHeight="1" x14ac:dyDescent="0.3">
      <c r="A86" s="41" t="s">
        <v>117</v>
      </c>
      <c r="B86" s="41" t="str">
        <f>'მომწოდებლის ფორმა'!B2</f>
        <v>ACH</v>
      </c>
      <c r="C86" s="41" t="str">
        <f>'მომწოდებლის ფორმა'!C2</f>
        <v>TLH</v>
      </c>
      <c r="D86" s="41" t="str">
        <f>'მომწოდებლის ფორმა'!D2</f>
        <v>XRH</v>
      </c>
      <c r="E86" s="41" t="str">
        <f>'მომწოდებლის ფორმა'!E2</f>
        <v>ZURH</v>
      </c>
      <c r="F86" s="41" t="str">
        <f>'მომწოდებლის ფორმა'!F2</f>
        <v>GRH</v>
      </c>
      <c r="G86" s="41" t="str">
        <f>'მომწოდებლის ფორმა'!G2</f>
        <v xml:space="preserve">KRH </v>
      </c>
      <c r="H86" s="41" t="str">
        <f>'მომწოდებლის ფორმა'!H2</f>
        <v>TCH</v>
      </c>
      <c r="I86" s="41" t="str">
        <f>'მომწოდებლის ფორმა'!I2</f>
        <v>QBH</v>
      </c>
      <c r="J86" s="41" t="s">
        <v>127</v>
      </c>
      <c r="K86" s="41"/>
      <c r="L86" s="41" t="s">
        <v>128</v>
      </c>
      <c r="M86" s="41" t="s">
        <v>121</v>
      </c>
      <c r="N86" s="41" t="s">
        <v>122</v>
      </c>
    </row>
    <row r="87" spans="1:14" x14ac:dyDescent="0.3">
      <c r="A87" s="42" t="str">
        <f>'მომწოდებლის ფორმა'!A4</f>
        <v>ლიპაზის განსაზღვრა  - Lipase</v>
      </c>
      <c r="B87" s="43">
        <f>N('მომწოდებლის ფორმა'!B4)</f>
        <v>0</v>
      </c>
      <c r="C87" s="43">
        <f>N('მომწოდებლის ფორმა'!C4)</f>
        <v>0</v>
      </c>
      <c r="D87" s="43">
        <f>N('მომწოდებლის ფორმა'!D4)</f>
        <v>0</v>
      </c>
      <c r="E87" s="43">
        <f>N('მომწოდებლის ფორმა'!E4)</f>
        <v>0</v>
      </c>
      <c r="F87" s="43">
        <f>N('მომწოდებლის ფორმა'!F4)</f>
        <v>0</v>
      </c>
      <c r="G87" s="43">
        <f>N('მომწოდებლის ფორმა'!G4)</f>
        <v>0</v>
      </c>
      <c r="H87" s="43">
        <f>N('მომწოდებლის ფორმა'!H4)</f>
        <v>1</v>
      </c>
      <c r="I87" s="43">
        <f>N('მომწოდებლის ფორმა'!I4)</f>
        <v>0</v>
      </c>
      <c r="J87" s="43">
        <f t="shared" ref="J87:J110" si="8">SUM(B87:I87)</f>
        <v>1</v>
      </c>
      <c r="K87" s="43"/>
      <c r="L87" s="45">
        <f>N('მომწოდებლის ფორმა'!$X4)*N('მომწოდებლის ფორმა'!$AB4)</f>
        <v>0</v>
      </c>
      <c r="M87" s="45">
        <f t="shared" ref="M87:M110" si="9">J87*L87</f>
        <v>0</v>
      </c>
      <c r="N87" s="45">
        <f>M87*'ფასი კლინიკებით'!$B$32</f>
        <v>0</v>
      </c>
    </row>
    <row r="88" spans="1:14" x14ac:dyDescent="0.3">
      <c r="A88" s="42" t="str">
        <f>'მომწოდებლის ფორმა'!A5</f>
        <v>გლუკოზა GLU G1</v>
      </c>
      <c r="B88" s="43">
        <f>N('მომწოდებლის ფორმა'!B5)</f>
        <v>4</v>
      </c>
      <c r="C88" s="43">
        <f>N('მომწოდებლის ფორმა'!C5)</f>
        <v>62</v>
      </c>
      <c r="D88" s="43">
        <f>N('მომწოდებლის ფორმა'!D5)</f>
        <v>50</v>
      </c>
      <c r="E88" s="43">
        <f>N('მომწოდებლის ფორმა'!E5)</f>
        <v>13</v>
      </c>
      <c r="F88" s="43">
        <f>N('მომწოდებლის ფორმა'!F5)</f>
        <v>780</v>
      </c>
      <c r="G88" s="43">
        <f>N('მომწოდებლის ფორმა'!G5)</f>
        <v>81</v>
      </c>
      <c r="H88" s="43">
        <f>N('მომწოდებლის ფორმა'!H5)</f>
        <v>11</v>
      </c>
      <c r="I88" s="43">
        <f>N('მომწოდებლის ფორმა'!I5)</f>
        <v>24</v>
      </c>
      <c r="J88" s="43">
        <f t="shared" si="8"/>
        <v>1025</v>
      </c>
      <c r="K88" s="43"/>
      <c r="L88" s="45">
        <f>N('მომწოდებლის ფორმა'!$X5)*N('მომწოდებლის ფორმა'!$AB5)</f>
        <v>0</v>
      </c>
      <c r="M88" s="45">
        <f t="shared" si="9"/>
        <v>0</v>
      </c>
      <c r="N88" s="45">
        <f>M88*'ფასი კლინიკებით'!$B$32</f>
        <v>0</v>
      </c>
    </row>
    <row r="89" spans="1:14" x14ac:dyDescent="0.3">
      <c r="A89" s="42" t="str">
        <f>'მომწოდებლის ფორმა'!A6</f>
        <v>ალანინ ამინოტრანსფერაზა ALT G1</v>
      </c>
      <c r="B89" s="43">
        <f>N('მომწოდებლის ფორმა'!B6)</f>
        <v>154</v>
      </c>
      <c r="C89" s="43">
        <f>N('მომწოდებლის ფორმა'!C6)</f>
        <v>225</v>
      </c>
      <c r="D89" s="43">
        <f>N('მომწოდებლის ფორმა'!D6)</f>
        <v>95</v>
      </c>
      <c r="E89" s="43">
        <f>N('მომწოდებლის ფორმა'!E6)</f>
        <v>215</v>
      </c>
      <c r="F89" s="43">
        <f>N('მომწოდებლის ფორმა'!F6)</f>
        <v>132</v>
      </c>
      <c r="G89" s="43">
        <f>N('მომწოდებლის ფორმა'!G6)</f>
        <v>564</v>
      </c>
      <c r="H89" s="43">
        <f>N('მომწოდებლის ფორმა'!H6)</f>
        <v>23</v>
      </c>
      <c r="I89" s="43">
        <f>N('მომწოდებლის ფორმა'!I6)</f>
        <v>200</v>
      </c>
      <c r="J89" s="43">
        <f t="shared" si="8"/>
        <v>1608</v>
      </c>
      <c r="K89" s="43"/>
      <c r="L89" s="45">
        <f>N('მომწოდებლის ფორმა'!$X6)*N('მომწოდებლის ფორმა'!$AB6)</f>
        <v>0</v>
      </c>
      <c r="M89" s="45">
        <f t="shared" si="9"/>
        <v>0</v>
      </c>
      <c r="N89" s="45">
        <f>M89*'ფასი კლინიკებით'!$B$32</f>
        <v>0</v>
      </c>
    </row>
    <row r="90" spans="1:14" x14ac:dyDescent="0.3">
      <c r="A90" s="42" t="str">
        <f>'მომწოდებლის ფორმა'!A7</f>
        <v>ასპარტატ ამინოტრანსფერაზა AST G1</v>
      </c>
      <c r="B90" s="43">
        <f>N('მომწოდებლის ფორმა'!B7)</f>
        <v>150</v>
      </c>
      <c r="C90" s="43">
        <f>N('მომწოდებლის ფორმა'!C7)</f>
        <v>212</v>
      </c>
      <c r="D90" s="43">
        <f>N('მომწოდებლის ფორმა'!D7)</f>
        <v>94</v>
      </c>
      <c r="E90" s="43">
        <f>N('მომწოდებლის ფორმა'!E7)</f>
        <v>210</v>
      </c>
      <c r="F90" s="43">
        <f>N('მომწოდებლის ფორმა'!F7)</f>
        <v>240</v>
      </c>
      <c r="G90" s="43">
        <f>N('მომწოდებლის ფორმა'!G7)</f>
        <v>561</v>
      </c>
      <c r="H90" s="43">
        <f>N('მომწოდებლის ფორმა'!H7)</f>
        <v>23</v>
      </c>
      <c r="I90" s="43">
        <f>N('მომწოდებლის ფორმა'!I7)</f>
        <v>200</v>
      </c>
      <c r="J90" s="43">
        <f t="shared" si="8"/>
        <v>1690</v>
      </c>
      <c r="K90" s="43"/>
      <c r="L90" s="45">
        <f>N('მომწოდებლის ფორმა'!$X7)*N('მომწოდებლის ფორმა'!$AB7)</f>
        <v>0</v>
      </c>
      <c r="M90" s="45">
        <f t="shared" si="9"/>
        <v>0</v>
      </c>
      <c r="N90" s="45">
        <f>M90*'ფასი კლინიკებით'!$B$32</f>
        <v>0</v>
      </c>
    </row>
    <row r="91" spans="1:14" x14ac:dyDescent="0.3">
      <c r="A91" s="42" t="str">
        <f>'მომწოდებლის ფორმა'!A8</f>
        <v>ალკალინ ფოსფატაზა ALP G1</v>
      </c>
      <c r="B91" s="43">
        <f>N('მომწოდებლის ფორმა'!B8)</f>
        <v>84</v>
      </c>
      <c r="C91" s="43">
        <f>N('მომწოდებლის ფორმა'!C8)</f>
        <v>150</v>
      </c>
      <c r="D91" s="43">
        <f>N('მომწოდებლის ფორმა'!D8)</f>
        <v>71</v>
      </c>
      <c r="E91" s="43">
        <f>N('მომწოდებლის ფორმა'!E8)</f>
        <v>168</v>
      </c>
      <c r="F91" s="43">
        <f>N('მომწოდებლის ფორმა'!F8)</f>
        <v>0</v>
      </c>
      <c r="G91" s="43">
        <f>N('მომწოდებლის ფორმა'!G8)</f>
        <v>524</v>
      </c>
      <c r="H91" s="43">
        <f>N('მომწოდებლის ფორმა'!H8)</f>
        <v>16</v>
      </c>
      <c r="I91" s="43">
        <f>N('მომწოდებლის ფორმა'!I8)</f>
        <v>70</v>
      </c>
      <c r="J91" s="43">
        <f t="shared" si="8"/>
        <v>1083</v>
      </c>
      <c r="K91" s="43"/>
      <c r="L91" s="45">
        <f>N('მომწოდებლის ფორმა'!$X8)*N('მომწოდებლის ფორმა'!$AB8)</f>
        <v>0</v>
      </c>
      <c r="M91" s="45">
        <f t="shared" si="9"/>
        <v>0</v>
      </c>
      <c r="N91" s="45">
        <f>M91*'ფასი კლინიკებით'!$B$32</f>
        <v>0</v>
      </c>
    </row>
    <row r="92" spans="1:14" x14ac:dyDescent="0.3">
      <c r="A92" s="42" t="str">
        <f>'მომწოდებლის ფორმა'!A9</f>
        <v>y-გლუტამილ ტრანსფერაზა GGT G1</v>
      </c>
      <c r="B92" s="43">
        <f>N('მომწოდებლის ფორმა'!B9)</f>
        <v>85</v>
      </c>
      <c r="C92" s="43">
        <f>N('მომწოდებლის ფორმა'!C9)</f>
        <v>144</v>
      </c>
      <c r="D92" s="43">
        <f>N('მომწოდებლის ფორმა'!D9)</f>
        <v>72</v>
      </c>
      <c r="E92" s="43">
        <f>N('მომწოდებლის ფორმა'!E9)</f>
        <v>169</v>
      </c>
      <c r="F92" s="43">
        <f>N('მომწოდებლის ფორმა'!F9)</f>
        <v>100</v>
      </c>
      <c r="G92" s="43">
        <f>N('მომწოდებლის ფორმა'!G9)</f>
        <v>525</v>
      </c>
      <c r="H92" s="43">
        <f>N('მომწოდებლის ფორმა'!H9)</f>
        <v>16</v>
      </c>
      <c r="I92" s="43">
        <f>N('მომწოდებლის ფორმა'!I9)</f>
        <v>50</v>
      </c>
      <c r="J92" s="43">
        <f t="shared" si="8"/>
        <v>1161</v>
      </c>
      <c r="K92" s="43"/>
      <c r="L92" s="45">
        <f>N('მომწოდებლის ფორმა'!$X9)*N('მომწოდებლის ფორმა'!$AB9)</f>
        <v>0</v>
      </c>
      <c r="M92" s="45">
        <f t="shared" si="9"/>
        <v>0</v>
      </c>
      <c r="N92" s="45">
        <f>M92*'ფასი კლინიკებით'!$B$32</f>
        <v>0</v>
      </c>
    </row>
    <row r="93" spans="1:14" x14ac:dyDescent="0.3">
      <c r="A93" s="42" t="str">
        <f>'მომწოდებლის ფორმა'!A10</f>
        <v>სრული  ბილირუბინი TBIL  G1</v>
      </c>
      <c r="B93" s="43">
        <f>N('მომწოდებლის ფორმა'!B10)</f>
        <v>86</v>
      </c>
      <c r="C93" s="43">
        <f>N('მომწოდებლის ფორმა'!C10)</f>
        <v>155</v>
      </c>
      <c r="D93" s="43">
        <f>N('მომწოდებლის ფორმა'!D10)</f>
        <v>72</v>
      </c>
      <c r="E93" s="43">
        <f>N('მომწოდებლის ფორმა'!E10)</f>
        <v>170</v>
      </c>
      <c r="F93" s="43">
        <f>N('მომწოდებლის ფორმა'!F10)</f>
        <v>119</v>
      </c>
      <c r="G93" s="43">
        <f>N('მომწოდებლის ფორმა'!G10)</f>
        <v>525</v>
      </c>
      <c r="H93" s="43">
        <f>N('მომწოდებლის ფორმა'!H10)</f>
        <v>26</v>
      </c>
      <c r="I93" s="43">
        <f>N('მომწოდებლის ფორმა'!I10)</f>
        <v>51</v>
      </c>
      <c r="J93" s="43">
        <f t="shared" si="8"/>
        <v>1204</v>
      </c>
      <c r="K93" s="43"/>
      <c r="L93" s="45">
        <f>N('მომწოდებლის ფორმა'!$X10)*N('მომწოდებლის ფორმა'!$AB10)</f>
        <v>0</v>
      </c>
      <c r="M93" s="45">
        <f t="shared" si="9"/>
        <v>0</v>
      </c>
      <c r="N93" s="45">
        <f>M93*'ფასი კლინიკებით'!$B$32</f>
        <v>0</v>
      </c>
    </row>
    <row r="94" spans="1:14" x14ac:dyDescent="0.3">
      <c r="A94" s="42" t="str">
        <f>'მომწოდებლის ფორმა'!A11</f>
        <v>სრული პროტეინი TP G1</v>
      </c>
      <c r="B94" s="43">
        <f>N('მომწოდებლის ფორმა'!B11)</f>
        <v>2</v>
      </c>
      <c r="C94" s="43">
        <f>N('მომწოდებლის ფორმა'!C11)</f>
        <v>13</v>
      </c>
      <c r="D94" s="43">
        <f>N('მომწოდებლის ფორმა'!D11)</f>
        <v>3</v>
      </c>
      <c r="E94" s="43">
        <f>N('მომწოდებლის ფორმა'!E11)</f>
        <v>8</v>
      </c>
      <c r="F94" s="43">
        <f>N('მომწოდებლის ფორმა'!F11)</f>
        <v>50</v>
      </c>
      <c r="G94" s="43">
        <f>N('მომწოდებლის ფორმა'!G11)</f>
        <v>18</v>
      </c>
      <c r="H94" s="43">
        <f>N('მომწოდებლის ფორმა'!H11)</f>
        <v>10</v>
      </c>
      <c r="I94" s="43">
        <f>N('მომწოდებლის ფორმა'!I11)</f>
        <v>3</v>
      </c>
      <c r="J94" s="43">
        <f t="shared" si="8"/>
        <v>107</v>
      </c>
      <c r="K94" s="43"/>
      <c r="L94" s="45">
        <f>N('მომწოდებლის ფორმა'!$X11)*N('მომწოდებლის ფორმა'!$AB11)</f>
        <v>0</v>
      </c>
      <c r="M94" s="45">
        <f t="shared" si="9"/>
        <v>0</v>
      </c>
      <c r="N94" s="45">
        <f>M94*'ფასი კლინიკებით'!$B$32</f>
        <v>0</v>
      </c>
    </row>
    <row r="95" spans="1:14" x14ac:dyDescent="0.3">
      <c r="A95" s="42" t="str">
        <f>'მომწოდებლის ფორმა'!A12</f>
        <v>ალბუმინი ALB G1</v>
      </c>
      <c r="B95" s="43">
        <f>N('მომწოდებლის ფორმა'!B12)</f>
        <v>3</v>
      </c>
      <c r="C95" s="43">
        <f>N('მომწოდებლის ფორმა'!C12)</f>
        <v>15</v>
      </c>
      <c r="D95" s="43">
        <f>N('მომწოდებლის ფორმა'!D12)</f>
        <v>0</v>
      </c>
      <c r="E95" s="43">
        <f>N('მომწოდებლის ფორმა'!E12)</f>
        <v>52</v>
      </c>
      <c r="F95" s="43">
        <f>N('მომწოდებლის ფორმა'!F12)</f>
        <v>78</v>
      </c>
      <c r="G95" s="43">
        <f>N('მომწოდებლის ფორმა'!G12)</f>
        <v>16</v>
      </c>
      <c r="H95" s="43">
        <f>N('მომწოდებლის ფორმა'!H12)</f>
        <v>12</v>
      </c>
      <c r="I95" s="43">
        <f>N('მომწოდებლის ფორმა'!I12)</f>
        <v>7</v>
      </c>
      <c r="J95" s="43">
        <f t="shared" si="8"/>
        <v>183</v>
      </c>
      <c r="K95" s="43"/>
      <c r="L95" s="45">
        <f>N('მომწოდებლის ფორმა'!$X12)*N('მომწოდებლის ფორმა'!$AB12)</f>
        <v>0</v>
      </c>
      <c r="M95" s="45">
        <f t="shared" si="9"/>
        <v>0</v>
      </c>
      <c r="N95" s="45">
        <f>M95*'ფასი კლინიკებით'!$B$32</f>
        <v>0</v>
      </c>
    </row>
    <row r="96" spans="1:14" x14ac:dyDescent="0.3">
      <c r="A96" s="42" t="str">
        <f>'მომწოდებლის ფორმა'!A13</f>
        <v>კრეატინინი Cr G1</v>
      </c>
      <c r="B96" s="43">
        <f>N('მომწოდებლის ფორმა'!B13)</f>
        <v>565</v>
      </c>
      <c r="C96" s="43">
        <f>N('მომწოდებლის ფორმა'!C13)</f>
        <v>820</v>
      </c>
      <c r="D96" s="43">
        <f>N('მომწოდებლის ფორმა'!D13)</f>
        <v>380</v>
      </c>
      <c r="E96" s="43">
        <f>N('მომწოდებლის ფორმა'!E13)</f>
        <v>580</v>
      </c>
      <c r="F96" s="43">
        <f>N('მომწოდებლის ფორმა'!F13)</f>
        <v>1140</v>
      </c>
      <c r="G96" s="43">
        <f>N('მომწოდებლის ფორმა'!G13)</f>
        <v>1349</v>
      </c>
      <c r="H96" s="43">
        <f>N('მომწოდებლის ფორმა'!H13)</f>
        <v>104</v>
      </c>
      <c r="I96" s="43">
        <f>N('მომწოდებლის ფორმა'!I13)</f>
        <v>431</v>
      </c>
      <c r="J96" s="43">
        <f t="shared" si="8"/>
        <v>5369</v>
      </c>
      <c r="K96" s="43"/>
      <c r="L96" s="45">
        <f>N('მომწოდებლის ფორმა'!$X13)*N('მომწოდებლის ფორმა'!$AB13)</f>
        <v>0</v>
      </c>
      <c r="M96" s="45">
        <f t="shared" si="9"/>
        <v>0</v>
      </c>
      <c r="N96" s="45">
        <f>M96*'ფასი კლინიკებით'!$B$32</f>
        <v>0</v>
      </c>
    </row>
    <row r="97" spans="1:14" x14ac:dyDescent="0.3">
      <c r="A97" s="42" t="str">
        <f>'მომწოდებლის ფორმა'!A14</f>
        <v>შარდოვანა Urea G1</v>
      </c>
      <c r="B97" s="43">
        <f>N('მომწოდებლის ფორმა'!B14)</f>
        <v>0</v>
      </c>
      <c r="C97" s="43">
        <f>N('მომწოდებლის ფორმა'!C14)</f>
        <v>0</v>
      </c>
      <c r="D97" s="43">
        <f>N('მომწოდებლის ფორმა'!D14)</f>
        <v>51</v>
      </c>
      <c r="E97" s="43">
        <f>N('მომწოდებლის ფორმა'!E14)</f>
        <v>107</v>
      </c>
      <c r="F97" s="43">
        <f>N('მომწოდებლის ფორმა'!F14)</f>
        <v>78</v>
      </c>
      <c r="G97" s="43">
        <f>N('მომწოდებლის ფორმა'!G14)</f>
        <v>0</v>
      </c>
      <c r="H97" s="43">
        <f>N('მომწოდებლის ფორმა'!H14)</f>
        <v>0</v>
      </c>
      <c r="I97" s="43">
        <f>N('მომწოდებლის ფორმა'!I14)</f>
        <v>211</v>
      </c>
      <c r="J97" s="43">
        <f t="shared" si="8"/>
        <v>447</v>
      </c>
      <c r="K97" s="43"/>
      <c r="L97" s="45">
        <f>N('მომწოდებლის ფორმა'!$X14)*N('მომწოდებლის ფორმა'!$AB14)</f>
        <v>0</v>
      </c>
      <c r="M97" s="45">
        <f t="shared" si="9"/>
        <v>0</v>
      </c>
      <c r="N97" s="45">
        <f>M97*'ფასი კლინიკებით'!$B$32</f>
        <v>0</v>
      </c>
    </row>
    <row r="98" spans="1:14" x14ac:dyDescent="0.3">
      <c r="A98" s="42" t="str">
        <f>'მომწოდებლის ფორმა'!A15</f>
        <v>რკინა Fe G1</v>
      </c>
      <c r="B98" s="43">
        <f>N('მომწოდებლის ფორმა'!B15)</f>
        <v>55</v>
      </c>
      <c r="C98" s="43">
        <f>N('მომწოდებლის ფორმა'!C15)</f>
        <v>55</v>
      </c>
      <c r="D98" s="43">
        <f>N('მომწოდებლის ფორმა'!D15)</f>
        <v>52</v>
      </c>
      <c r="E98" s="43">
        <f>N('მომწოდებლის ფორმა'!E15)</f>
        <v>42</v>
      </c>
      <c r="F98" s="43">
        <f>N('მომწოდებლის ფორმა'!F15)</f>
        <v>239</v>
      </c>
      <c r="G98" s="43">
        <f>N('მომწოდებლის ფორმა'!G15)</f>
        <v>232</v>
      </c>
      <c r="H98" s="43">
        <f>N('მომწოდებლის ფორმა'!H15)</f>
        <v>38</v>
      </c>
      <c r="I98" s="43">
        <f>N('მომწოდებლის ფორმა'!I15)</f>
        <v>0</v>
      </c>
      <c r="J98" s="43">
        <f t="shared" si="8"/>
        <v>713</v>
      </c>
      <c r="K98" s="43"/>
      <c r="L98" s="45">
        <f>N('მომწოდებლის ფორმა'!$X15)*N('მომწოდებლის ფორმა'!$AB15)</f>
        <v>0</v>
      </c>
      <c r="M98" s="45">
        <f t="shared" si="9"/>
        <v>0</v>
      </c>
      <c r="N98" s="45">
        <f>M98*'ფასი კლინიკებით'!$B$32</f>
        <v>0</v>
      </c>
    </row>
    <row r="99" spans="1:14" x14ac:dyDescent="0.3">
      <c r="A99" s="42" t="str">
        <f>'მომწოდებლის ფორმა'!A16</f>
        <v>რეაქტიული ცილა CRP G1</v>
      </c>
      <c r="B99" s="43">
        <f>N('მომწოდებლის ფორმა'!B16)</f>
        <v>213</v>
      </c>
      <c r="C99" s="43">
        <f>N('მომწოდებლის ფორმა'!C16)</f>
        <v>389</v>
      </c>
      <c r="D99" s="43">
        <f>N('მომწოდებლის ფორმა'!D16)</f>
        <v>360</v>
      </c>
      <c r="E99" s="43">
        <f>N('მომწოდებლის ფორმა'!E16)</f>
        <v>428</v>
      </c>
      <c r="F99" s="43">
        <f>N('მომწოდებლის ფორმა'!F16)</f>
        <v>1400</v>
      </c>
      <c r="G99" s="43">
        <f>N('მომწოდებლის ფორმა'!G16)</f>
        <v>613</v>
      </c>
      <c r="H99" s="43">
        <f>N('მომწოდებლის ფორმა'!H16)</f>
        <v>492</v>
      </c>
      <c r="I99" s="43">
        <f>N('მომწოდებლის ფორმა'!I16)</f>
        <v>198</v>
      </c>
      <c r="J99" s="43">
        <f t="shared" si="8"/>
        <v>4093</v>
      </c>
      <c r="K99" s="43"/>
      <c r="L99" s="45">
        <f>N('მომწოდებლის ფორმა'!$X16)*N('მომწოდებლის ფორმა'!$AB16)</f>
        <v>0</v>
      </c>
      <c r="M99" s="45">
        <f t="shared" si="9"/>
        <v>0</v>
      </c>
      <c r="N99" s="45">
        <f>M99*'ფასი კლინიკებით'!$B$32</f>
        <v>0</v>
      </c>
    </row>
    <row r="100" spans="1:14" x14ac:dyDescent="0.3">
      <c r="A100" s="42" t="str">
        <f>'მომწოდებლის ფორმა'!A17</f>
        <v>a-ამილაზა AMY G1</v>
      </c>
      <c r="B100" s="43">
        <f>N('მომწოდებლის ფორმა'!B17)</f>
        <v>4</v>
      </c>
      <c r="C100" s="43">
        <f>N('მომწოდებლის ფორმა'!C17)</f>
        <v>10</v>
      </c>
      <c r="D100" s="43">
        <f>N('მომწოდებლის ფორმა'!D17)</f>
        <v>23</v>
      </c>
      <c r="E100" s="43">
        <f>N('მომწოდებლის ფორმა'!E17)</f>
        <v>72</v>
      </c>
      <c r="F100" s="43">
        <f>N('მომწოდებლის ფორმა'!F17)</f>
        <v>0</v>
      </c>
      <c r="G100" s="43">
        <f>N('მომწოდებლის ფორმა'!G17)</f>
        <v>125</v>
      </c>
      <c r="H100" s="43">
        <f>N('მომწოდებლის ფორმა'!H17)</f>
        <v>1</v>
      </c>
      <c r="I100" s="43">
        <f>N('მომწოდებლის ფორმა'!I17)</f>
        <v>26</v>
      </c>
      <c r="J100" s="43">
        <f t="shared" si="8"/>
        <v>261</v>
      </c>
      <c r="K100" s="43"/>
      <c r="L100" s="45">
        <f>N('მომწოდებლის ფორმა'!$X17)*N('მომწოდებლის ფორმა'!$AB17)</f>
        <v>0</v>
      </c>
      <c r="M100" s="45">
        <f t="shared" si="9"/>
        <v>0</v>
      </c>
      <c r="N100" s="45">
        <f>M100*'ფასი კლინიკებით'!$B$32</f>
        <v>0</v>
      </c>
    </row>
    <row r="101" spans="1:14" x14ac:dyDescent="0.3">
      <c r="A101" s="42" t="str">
        <f>'მომწოდებლის ფორმა'!A18</f>
        <v>მაღალი სიმკვრივის ლიპოპროტეინ ქოლესტეროლი HDL-C G1</v>
      </c>
      <c r="B101" s="43">
        <f>N('მომწოდებლის ფორმა'!B18)</f>
        <v>207</v>
      </c>
      <c r="C101" s="43">
        <f>N('მომწოდებლის ფორმა'!C18)</f>
        <v>458</v>
      </c>
      <c r="D101" s="43">
        <f>N('მომწოდებლის ფორმა'!D18)</f>
        <v>168</v>
      </c>
      <c r="E101" s="43">
        <f>N('მომწოდებლის ფორმა'!E18)</f>
        <v>265</v>
      </c>
      <c r="F101" s="43">
        <f>N('მომწოდებლის ფორმა'!F18)</f>
        <v>810</v>
      </c>
      <c r="G101" s="43">
        <f>N('მომწოდებლის ფორმა'!G18)</f>
        <v>236</v>
      </c>
      <c r="H101" s="43">
        <f>N('მომწოდებლის ფორმა'!H18)</f>
        <v>16</v>
      </c>
      <c r="I101" s="43">
        <f>N('მომწოდებლის ფორმა'!I18)</f>
        <v>146</v>
      </c>
      <c r="J101" s="43">
        <f t="shared" si="8"/>
        <v>2306</v>
      </c>
      <c r="K101" s="43"/>
      <c r="L101" s="45">
        <f>N('მომწოდებლის ფორმა'!$X18)*N('მომწოდებლის ფორმა'!$AB18)</f>
        <v>0</v>
      </c>
      <c r="M101" s="45">
        <f t="shared" si="9"/>
        <v>0</v>
      </c>
      <c r="N101" s="45">
        <f>M101*'ფასი კლინიკებით'!$B$32</f>
        <v>0</v>
      </c>
    </row>
    <row r="102" spans="1:14" x14ac:dyDescent="0.3">
      <c r="A102" s="42" t="str">
        <f>'მომწოდებლის ფორმა'!A19</f>
        <v>დაბალი სიმკვრივის ლიპოპროტეინ ქოლესტეროლი LDL-C G1</v>
      </c>
      <c r="B102" s="43">
        <f>N('მომწოდებლის ფორმა'!B19)</f>
        <v>208</v>
      </c>
      <c r="C102" s="43">
        <f>N('მომწოდებლის ფორმა'!C19)</f>
        <v>460</v>
      </c>
      <c r="D102" s="43">
        <f>N('მომწოდებლის ფორმა'!D19)</f>
        <v>170</v>
      </c>
      <c r="E102" s="43">
        <f>N('მომწოდებლის ფორმა'!E19)</f>
        <v>272</v>
      </c>
      <c r="F102" s="43">
        <f>N('მომწოდებლის ფორმა'!F19)</f>
        <v>0</v>
      </c>
      <c r="G102" s="43">
        <f>N('მომწოდებლის ფორმა'!G19)</f>
        <v>236</v>
      </c>
      <c r="H102" s="43">
        <f>N('მომწოდებლის ფორმა'!H19)</f>
        <v>17</v>
      </c>
      <c r="I102" s="43">
        <f>N('მომწოდებლის ფორმა'!I19)</f>
        <v>147</v>
      </c>
      <c r="J102" s="43">
        <f t="shared" si="8"/>
        <v>1510</v>
      </c>
      <c r="K102" s="43"/>
      <c r="L102" s="45">
        <f>N('მომწოდებლის ფორმა'!$X19)*N('მომწოდებლის ფორმა'!$AB19)</f>
        <v>0</v>
      </c>
      <c r="M102" s="45">
        <f t="shared" si="9"/>
        <v>0</v>
      </c>
      <c r="N102" s="45">
        <f>M102*'ფასი კლინიკებით'!$B$32</f>
        <v>0</v>
      </c>
    </row>
    <row r="103" spans="1:14" x14ac:dyDescent="0.3">
      <c r="A103" s="42" t="str">
        <f>'მომწოდებლის ფორმა'!A20</f>
        <v>ტრიგლიცერიდი TG G1</v>
      </c>
      <c r="B103" s="43">
        <f>N('მომწოდებლის ფორმა'!B20)</f>
        <v>207</v>
      </c>
      <c r="C103" s="43">
        <f>N('მომწოდებლის ფორმა'!C20)</f>
        <v>457</v>
      </c>
      <c r="D103" s="43">
        <f>N('მომწოდებლის ფორმა'!D20)</f>
        <v>166</v>
      </c>
      <c r="E103" s="43">
        <f>N('მომწოდებლის ფორმა'!E20)</f>
        <v>265</v>
      </c>
      <c r="F103" s="43">
        <f>N('მომწოდებლის ფორმა'!F20)</f>
        <v>540</v>
      </c>
      <c r="G103" s="43">
        <f>N('მომწოდებლის ფორმა'!G20)</f>
        <v>236</v>
      </c>
      <c r="H103" s="43">
        <f>N('მომწოდებლის ფორმა'!H20)</f>
        <v>17</v>
      </c>
      <c r="I103" s="43">
        <f>N('მომწოდებლის ფორმა'!I20)</f>
        <v>147</v>
      </c>
      <c r="J103" s="43">
        <f t="shared" si="8"/>
        <v>2035</v>
      </c>
      <c r="K103" s="43"/>
      <c r="L103" s="45">
        <f>N('მომწოდებლის ფორმა'!$X20)*N('მომწოდებლის ფორმა'!$AB20)</f>
        <v>0</v>
      </c>
      <c r="M103" s="45">
        <f t="shared" si="9"/>
        <v>0</v>
      </c>
      <c r="N103" s="45">
        <f>M103*'ფასი კლინიკებით'!$B$32</f>
        <v>0</v>
      </c>
    </row>
    <row r="104" spans="1:14" x14ac:dyDescent="0.3">
      <c r="A104" s="42" t="str">
        <f>'მომწოდებლის ფორმა'!A21</f>
        <v>პირდაპირი ბილირუბინი DBIL G1</v>
      </c>
      <c r="B104" s="43">
        <f>N('მომწოდებლის ფორმა'!B21)</f>
        <v>85</v>
      </c>
      <c r="C104" s="43">
        <f>N('მომწოდებლის ფორმა'!C21)</f>
        <v>153</v>
      </c>
      <c r="D104" s="43">
        <f>N('მომწოდებლის ფორმა'!D21)</f>
        <v>71</v>
      </c>
      <c r="E104" s="43">
        <f>N('მომწოდებლის ფორმა'!E21)</f>
        <v>169</v>
      </c>
      <c r="F104" s="43">
        <f>N('მომწოდებლის ფორმა'!F21)</f>
        <v>0</v>
      </c>
      <c r="G104" s="43">
        <f>N('მომწოდებლის ფორმა'!G21)</f>
        <v>524</v>
      </c>
      <c r="H104" s="43">
        <f>N('მომწოდებლის ფორმა'!H21)</f>
        <v>26</v>
      </c>
      <c r="I104" s="43">
        <f>N('მომწოდებლის ფორმა'!I21)</f>
        <v>50</v>
      </c>
      <c r="J104" s="43">
        <f t="shared" si="8"/>
        <v>1078</v>
      </c>
      <c r="K104" s="43"/>
      <c r="L104" s="45">
        <f>N('მომწოდებლის ფორმა'!$X21)*N('მომწოდებლის ფორმა'!$AB21)</f>
        <v>0</v>
      </c>
      <c r="M104" s="45">
        <f t="shared" si="9"/>
        <v>0</v>
      </c>
      <c r="N104" s="45">
        <f>M104*'ფასი კლინიკებით'!$B$32</f>
        <v>0</v>
      </c>
    </row>
    <row r="105" spans="1:14" x14ac:dyDescent="0.3">
      <c r="A105" s="42" t="str">
        <f>'მომწოდებლის ფორმა'!A22</f>
        <v>სრული ქოლესტეროლი TC G1</v>
      </c>
      <c r="B105" s="43">
        <f>N('მომწოდებლის ფორმა'!B22)</f>
        <v>210</v>
      </c>
      <c r="C105" s="43">
        <f>N('მომწოდებლის ფორმა'!C22)</f>
        <v>475</v>
      </c>
      <c r="D105" s="43">
        <f>N('მომწოდებლის ფორმა'!D22)</f>
        <v>187</v>
      </c>
      <c r="E105" s="43">
        <f>N('მომწოდებლის ფორმა'!E22)</f>
        <v>271</v>
      </c>
      <c r="F105" s="43">
        <f>N('მომწოდებლის ფორმა'!F22)</f>
        <v>660</v>
      </c>
      <c r="G105" s="43">
        <f>N('მომწოდებლის ფორმა'!G22)</f>
        <v>278</v>
      </c>
      <c r="H105" s="43">
        <f>N('მომწოდებლის ფორმა'!H22)</f>
        <v>21</v>
      </c>
      <c r="I105" s="43">
        <f>N('მომწოდებლის ფორმა'!I22)</f>
        <v>201</v>
      </c>
      <c r="J105" s="43">
        <f t="shared" si="8"/>
        <v>2303</v>
      </c>
      <c r="K105" s="43"/>
      <c r="L105" s="45">
        <f>N('მომწოდებლის ფორმა'!$X22)*N('მომწოდებლის ფორმა'!$AB22)</f>
        <v>0</v>
      </c>
      <c r="M105" s="45">
        <f t="shared" si="9"/>
        <v>0</v>
      </c>
      <c r="N105" s="45">
        <f>M105*'ფასი კლინიკებით'!$B$32</f>
        <v>0</v>
      </c>
    </row>
    <row r="106" spans="1:14" x14ac:dyDescent="0.3">
      <c r="A106" s="42" t="str">
        <f>'მომწოდებლის ფორმა'!A23</f>
        <v>მაგნიუმი Mg</v>
      </c>
      <c r="B106" s="43">
        <f>N('მომწოდებლის ფორმა'!B23)</f>
        <v>0</v>
      </c>
      <c r="C106" s="43">
        <f>N('მომწოდებლის ფორმა'!C23)</f>
        <v>36</v>
      </c>
      <c r="D106" s="43">
        <f>N('მომწოდებლის ფორმა'!D23)</f>
        <v>0</v>
      </c>
      <c r="E106" s="43">
        <f>N('მომწოდებლის ფორმა'!E23)</f>
        <v>0</v>
      </c>
      <c r="F106" s="43">
        <f>N('მომწოდებლის ფორმა'!F23)</f>
        <v>75</v>
      </c>
      <c r="G106" s="43">
        <f>N('მომწოდებლის ფორმა'!G23)</f>
        <v>0</v>
      </c>
      <c r="H106" s="43">
        <f>N('მომწოდებლის ფორმა'!H23)</f>
        <v>0</v>
      </c>
      <c r="I106" s="43">
        <f>N('მომწოდებლის ფორმა'!I23)</f>
        <v>0</v>
      </c>
      <c r="J106" s="43">
        <f t="shared" si="8"/>
        <v>111</v>
      </c>
      <c r="K106" s="43"/>
      <c r="L106" s="45">
        <f>N('მომწოდებლის ფორმა'!$X23)*N('მომწოდებლის ფორმა'!$AB23)</f>
        <v>0</v>
      </c>
      <c r="M106" s="45">
        <f t="shared" si="9"/>
        <v>0</v>
      </c>
      <c r="N106" s="45">
        <f>M106*'ფასი კლინიკებით'!$B$32</f>
        <v>0</v>
      </c>
    </row>
    <row r="107" spans="1:14" x14ac:dyDescent="0.3">
      <c r="A107" s="42" t="str">
        <f>'მომწოდებლის ფორმა'!A24</f>
        <v>კალციუმი Ca G1</v>
      </c>
      <c r="B107" s="43">
        <f>N('მომწოდებლის ფორმა'!B24)</f>
        <v>30</v>
      </c>
      <c r="C107" s="43">
        <f>N('მომწოდებლის ფორმა'!C24)</f>
        <v>51</v>
      </c>
      <c r="D107" s="43">
        <f>N('მომწოდებლის ფორმა'!D24)</f>
        <v>6</v>
      </c>
      <c r="E107" s="43">
        <f>N('მომწოდებლის ფორმა'!E24)</f>
        <v>5</v>
      </c>
      <c r="F107" s="43">
        <f>N('მომწოდებლის ფორმა'!F24)</f>
        <v>180</v>
      </c>
      <c r="G107" s="43">
        <f>N('მომწოდებლის ფორმა'!G24)</f>
        <v>32</v>
      </c>
      <c r="H107" s="43">
        <f>N('მომწოდებლის ფორმა'!H24)</f>
        <v>3</v>
      </c>
      <c r="I107" s="43">
        <f>N('მომწოდებლის ფორმა'!I24)</f>
        <v>31</v>
      </c>
      <c r="J107" s="43">
        <f t="shared" si="8"/>
        <v>338</v>
      </c>
      <c r="K107" s="43"/>
      <c r="L107" s="45">
        <f>N('მომწოდებლის ფორმა'!$X24)*N('მომწოდებლის ფორმა'!$AB24)</f>
        <v>0</v>
      </c>
      <c r="M107" s="45">
        <f t="shared" si="9"/>
        <v>0</v>
      </c>
      <c r="N107" s="45">
        <f>M107*'ფასი კლინიკებით'!$B$32</f>
        <v>0</v>
      </c>
    </row>
    <row r="108" spans="1:14" x14ac:dyDescent="0.3">
      <c r="A108" s="42" t="str">
        <f>'მომწოდებლის ფორმა'!A25</f>
        <v>არაორგანული ფოსფორი PHOS G1</v>
      </c>
      <c r="B108" s="43">
        <f>N('მომწოდებლის ფორმა'!B25)</f>
        <v>0</v>
      </c>
      <c r="C108" s="43">
        <f>N('მომწოდებლის ფორმა'!C25)</f>
        <v>0</v>
      </c>
      <c r="D108" s="43">
        <f>N('მომწოდებლის ფორმა'!D25)</f>
        <v>0</v>
      </c>
      <c r="E108" s="43">
        <f>N('მომწოდებლის ფორმა'!E25)</f>
        <v>0</v>
      </c>
      <c r="F108" s="43">
        <f>N('მომწოდებლის ფორმა'!F25)</f>
        <v>0</v>
      </c>
      <c r="G108" s="43">
        <f>N('მომწოდებლის ფორმა'!G25)</f>
        <v>1</v>
      </c>
      <c r="H108" s="43">
        <f>N('მომწოდებლის ფორმა'!H25)</f>
        <v>0</v>
      </c>
      <c r="I108" s="43">
        <f>N('მომწოდებლის ფორმა'!I25)</f>
        <v>1</v>
      </c>
      <c r="J108" s="43">
        <f t="shared" si="8"/>
        <v>2</v>
      </c>
      <c r="K108" s="43"/>
      <c r="L108" s="45">
        <f>N('მომწოდებლის ფორმა'!$X25)*N('მომწოდებლის ფორმა'!$AB25)</f>
        <v>0</v>
      </c>
      <c r="M108" s="45">
        <f t="shared" si="9"/>
        <v>0</v>
      </c>
      <c r="N108" s="45">
        <f>M108*'ფასი კლინიკებით'!$B$32</f>
        <v>0</v>
      </c>
    </row>
    <row r="109" spans="1:14" x14ac:dyDescent="0.3">
      <c r="A109" s="42" t="str">
        <f>'მომწოდებლის ფორმა'!A26</f>
        <v>რევმატოიდული ფაქტორი RF</v>
      </c>
      <c r="B109" s="43">
        <f>N('მომწოდებლის ფორმა'!B26)</f>
        <v>8</v>
      </c>
      <c r="C109" s="43">
        <f>N('მომწოდებლის ფორმა'!C26)</f>
        <v>12</v>
      </c>
      <c r="D109" s="43">
        <f>N('მომწოდებლის ფორმა'!D26)</f>
        <v>7</v>
      </c>
      <c r="E109" s="43">
        <f>N('მომწოდებლის ფორმა'!E26)</f>
        <v>12</v>
      </c>
      <c r="F109" s="43">
        <f>N('მომწოდებლის ფორმა'!F26)</f>
        <v>0</v>
      </c>
      <c r="G109" s="43">
        <f>N('მომწოდებლის ფორმა'!G26)</f>
        <v>23</v>
      </c>
      <c r="H109" s="43">
        <f>N('მომწოდებლის ფორმა'!H26)</f>
        <v>3</v>
      </c>
      <c r="I109" s="43">
        <f>N('მომწოდებლის ფორმა'!I26)</f>
        <v>12</v>
      </c>
      <c r="J109" s="43">
        <f t="shared" si="8"/>
        <v>77</v>
      </c>
      <c r="K109" s="43"/>
      <c r="L109" s="45">
        <f>N('მომწოდებლის ფორმა'!$X26)*N('მომწოდებლის ფორმა'!$AB26)</f>
        <v>0</v>
      </c>
      <c r="M109" s="45">
        <f t="shared" si="9"/>
        <v>0</v>
      </c>
      <c r="N109" s="45">
        <f>M109*'ფასი კლინიკებით'!$B$32</f>
        <v>0</v>
      </c>
    </row>
    <row r="110" spans="1:14" x14ac:dyDescent="0.3">
      <c r="A110" s="42" t="str">
        <f>'მომწოდებლის ფორმა'!A27</f>
        <v>ანტისტრეპტოლიზინი - O  ASLO</v>
      </c>
      <c r="B110" s="43">
        <f>N('მომწოდებლის ფორმა'!B27)</f>
        <v>8</v>
      </c>
      <c r="C110" s="43">
        <f>N('მომწოდებლის ფორმა'!C27)</f>
        <v>12</v>
      </c>
      <c r="D110" s="43">
        <f>N('მომწოდებლის ფორმა'!D27)</f>
        <v>7</v>
      </c>
      <c r="E110" s="43">
        <f>N('მომწოდებლის ფორმა'!E27)</f>
        <v>12</v>
      </c>
      <c r="F110" s="43">
        <f>N('მომწოდებლის ფორმა'!F27)</f>
        <v>0</v>
      </c>
      <c r="G110" s="43">
        <f>N('მომწოდებლის ფორმა'!G27)</f>
        <v>23</v>
      </c>
      <c r="H110" s="43">
        <f>N('მომწოდებლის ფორმა'!H27)</f>
        <v>3</v>
      </c>
      <c r="I110" s="43">
        <f>N('მომწოდებლის ფორმა'!I27)</f>
        <v>12</v>
      </c>
      <c r="J110" s="43">
        <f t="shared" si="8"/>
        <v>77</v>
      </c>
      <c r="K110" s="43"/>
      <c r="L110" s="45">
        <f>N('მომწოდებლის ფორმა'!$X27)*N('მომწოდებლის ფორმა'!$AB27)</f>
        <v>0</v>
      </c>
      <c r="M110" s="45">
        <f t="shared" si="9"/>
        <v>0</v>
      </c>
      <c r="N110" s="45">
        <f>M110*'ფასი კლინიკებით'!$B$32</f>
        <v>0</v>
      </c>
    </row>
    <row r="112" spans="1:14" ht="15" customHeight="1" x14ac:dyDescent="0.3">
      <c r="A112" s="47" t="s">
        <v>129</v>
      </c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8">
        <f>SUM(M6:M29,M33:M56,M60:M83,M87:M110)</f>
        <v>0</v>
      </c>
      <c r="N112" s="47"/>
    </row>
    <row r="113" spans="1:14" ht="15" customHeight="1" x14ac:dyDescent="0.3">
      <c r="A113" s="47" t="s">
        <v>130</v>
      </c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8">
        <f>SUM(N6:N29,N33:N56,N60:N83,N87:N110)</f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ინსტრუქცია მომწოდებლისთვის</vt:lpstr>
      <vt:lpstr>მომწოდებლის ფორმა</vt:lpstr>
      <vt:lpstr>ფასი კლინიკებით</vt:lpstr>
      <vt:lpstr>შესასყიდი რაოდენობა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Teona Nozadze</dc:creator>
  <dc:description/>
  <cp:lastModifiedBy>Teona Nozadze</cp:lastModifiedBy>
  <cp:revision>0</cp:revision>
  <dcterms:created xsi:type="dcterms:W3CDTF">2015-06-05T18:17:20Z</dcterms:created>
  <dcterms:modified xsi:type="dcterms:W3CDTF">2026-10-27T08:53:32Z</dcterms:modified>
  <dc:language>en-US</dc:language>
</cp:coreProperties>
</file>