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qoqiashvili\Desktop\"/>
    </mc:Choice>
  </mc:AlternateContent>
  <xr:revisionPtr revIDLastSave="0" documentId="13_ncr:1_{90E2363B-0C72-4C10-A05B-93E44777F25B}" xr6:coauthVersionLast="47" xr6:coauthVersionMax="47" xr10:uidLastSave="{00000000-0000-0000-0000-000000000000}"/>
  <bookViews>
    <workbookView xWindow="-108" yWindow="-108" windowWidth="23256" windowHeight="13896" tabRatio="923" activeTab="1" xr2:uid="{31BE7BA5-C8BF-4CB9-AB65-79B76BC97A02}"/>
  </bookViews>
  <sheets>
    <sheet name="კრებსითი" sheetId="7" r:id="rId1"/>
    <sheet name="ვერტიკალური გეგმარება" sheetId="9" r:id="rId2"/>
    <sheet name="დენდროლოგია" sheetId="3" r:id="rId3"/>
    <sheet name="ტერიტორიის საყრდენი კედლები " sheetId="10" r:id="rId4"/>
  </sheets>
  <definedNames>
    <definedName name="_xlnm._FilterDatabase" localSheetId="1" hidden="1">'ვერტიკალური გეგმარება'!$C$4:$C$196</definedName>
    <definedName name="_xlnm._FilterDatabase" localSheetId="3" hidden="1">'ტერიტორიის საყრდენი კედლები '!$B$4:$L$156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" i="10" l="1"/>
  <c r="G16" i="10"/>
  <c r="G21" i="10"/>
  <c r="G22" i="10"/>
  <c r="G23" i="10"/>
  <c r="G26" i="10"/>
  <c r="G27" i="10"/>
  <c r="G28" i="10"/>
  <c r="G33" i="10"/>
  <c r="G34" i="10"/>
  <c r="G35" i="10"/>
  <c r="G36" i="10"/>
  <c r="G37" i="10"/>
  <c r="G42" i="10"/>
  <c r="G43" i="10"/>
  <c r="G44" i="10"/>
  <c r="G45" i="10"/>
  <c r="G46" i="10"/>
  <c r="G51" i="10"/>
  <c r="G52" i="10"/>
  <c r="G53" i="10"/>
  <c r="G54" i="10"/>
  <c r="G55" i="10"/>
  <c r="G56" i="10"/>
  <c r="G57" i="10"/>
  <c r="G62" i="10"/>
  <c r="G63" i="10"/>
  <c r="G64" i="10"/>
  <c r="G65" i="10"/>
  <c r="G66" i="10"/>
  <c r="G67" i="10"/>
  <c r="G68" i="10"/>
  <c r="G73" i="10"/>
  <c r="G74" i="10"/>
  <c r="G75" i="10"/>
  <c r="G76" i="10"/>
  <c r="G77" i="10"/>
  <c r="G78" i="10"/>
  <c r="G79" i="10"/>
  <c r="G84" i="10"/>
  <c r="G85" i="10"/>
  <c r="G86" i="10"/>
  <c r="G87" i="10"/>
  <c r="G88" i="10"/>
  <c r="G89" i="10"/>
  <c r="G90" i="10"/>
  <c r="G95" i="10"/>
  <c r="G96" i="10"/>
  <c r="G97" i="10"/>
  <c r="G98" i="10"/>
  <c r="G99" i="10"/>
  <c r="G100" i="10"/>
  <c r="G101" i="10"/>
  <c r="G106" i="10"/>
  <c r="G107" i="10"/>
  <c r="G108" i="10"/>
  <c r="G109" i="10"/>
  <c r="G110" i="10"/>
  <c r="G111" i="10"/>
  <c r="G112" i="10"/>
  <c r="G117" i="10"/>
  <c r="G118" i="10"/>
  <c r="G119" i="10"/>
  <c r="G120" i="10"/>
  <c r="G121" i="10"/>
  <c r="G122" i="10"/>
  <c r="G123" i="10"/>
  <c r="G128" i="10"/>
  <c r="G129" i="10"/>
  <c r="G130" i="10"/>
  <c r="G131" i="10"/>
  <c r="G132" i="10"/>
  <c r="G133" i="10"/>
  <c r="G134" i="10"/>
  <c r="G139" i="10"/>
  <c r="G140" i="10"/>
  <c r="G141" i="10"/>
  <c r="G142" i="10"/>
  <c r="G143" i="10"/>
  <c r="G144" i="10"/>
  <c r="G145" i="10"/>
  <c r="G146" i="10"/>
  <c r="I10" i="10"/>
  <c r="I14" i="10"/>
  <c r="I18" i="10"/>
  <c r="I25" i="10"/>
  <c r="I30" i="10"/>
  <c r="I39" i="10"/>
  <c r="I48" i="10"/>
  <c r="I59" i="10"/>
  <c r="I70" i="10"/>
  <c r="I81" i="10"/>
  <c r="I92" i="10"/>
  <c r="I103" i="10"/>
  <c r="I114" i="10"/>
  <c r="I125" i="10"/>
  <c r="I136" i="10"/>
  <c r="E24" i="10"/>
  <c r="E13" i="10"/>
  <c r="E9" i="10"/>
  <c r="F21" i="9"/>
  <c r="H21" i="9" s="1"/>
  <c r="M21" i="9" s="1"/>
  <c r="F99" i="9"/>
  <c r="F109" i="9"/>
  <c r="F29" i="9"/>
  <c r="F25" i="9"/>
  <c r="F26" i="9" s="1"/>
  <c r="J26" i="9" s="1"/>
  <c r="F139" i="9"/>
  <c r="F140" i="9" s="1"/>
  <c r="F134" i="9"/>
  <c r="F128" i="9"/>
  <c r="B9" i="9"/>
  <c r="B8" i="3"/>
  <c r="E16" i="9"/>
  <c r="F16" i="9" s="1"/>
  <c r="H16" i="9" s="1"/>
  <c r="M16" i="9" s="1"/>
  <c r="F14" i="9"/>
  <c r="L14" i="9" s="1"/>
  <c r="M14" i="9" s="1"/>
  <c r="F13" i="9"/>
  <c r="F23" i="9"/>
  <c r="H23" i="9" s="1"/>
  <c r="M23" i="9" s="1"/>
  <c r="F22" i="9"/>
  <c r="H22" i="9" s="1"/>
  <c r="M22" i="9" s="1"/>
  <c r="F20" i="9"/>
  <c r="H20" i="9" s="1"/>
  <c r="M20" i="9" s="1"/>
  <c r="F19" i="9"/>
  <c r="L19" i="9" s="1"/>
  <c r="M19" i="9" s="1"/>
  <c r="F18" i="9"/>
  <c r="J18" i="9" s="1"/>
  <c r="M18" i="9" s="1"/>
  <c r="F171" i="9"/>
  <c r="F179" i="9" s="1"/>
  <c r="F180" i="9" s="1"/>
  <c r="F178" i="9"/>
  <c r="F177" i="9"/>
  <c r="H177" i="9" s="1"/>
  <c r="M177" i="9" s="1"/>
  <c r="F175" i="9"/>
  <c r="F174" i="9"/>
  <c r="F173" i="9"/>
  <c r="F172" i="9"/>
  <c r="M170" i="9"/>
  <c r="F169" i="9"/>
  <c r="M168" i="9"/>
  <c r="E45" i="10"/>
  <c r="E46" i="10"/>
  <c r="E43" i="10"/>
  <c r="E42" i="10"/>
  <c r="E41" i="10"/>
  <c r="K41" i="10" s="1"/>
  <c r="L41" i="10" s="1"/>
  <c r="E40" i="10"/>
  <c r="K40" i="10" s="1"/>
  <c r="L40" i="10" s="1"/>
  <c r="E39" i="10"/>
  <c r="E36" i="10"/>
  <c r="E37" i="10"/>
  <c r="E34" i="10"/>
  <c r="E33" i="10"/>
  <c r="E32" i="10"/>
  <c r="K32" i="10" s="1"/>
  <c r="L32" i="10" s="1"/>
  <c r="E31" i="10"/>
  <c r="K31" i="10" s="1"/>
  <c r="L31" i="10" s="1"/>
  <c r="E30" i="10"/>
  <c r="F86" i="9"/>
  <c r="J86" i="9" s="1"/>
  <c r="E6" i="10"/>
  <c r="K6" i="10" s="1"/>
  <c r="E7" i="10"/>
  <c r="E18" i="10"/>
  <c r="E19" i="10"/>
  <c r="E23" i="10"/>
  <c r="E22" i="10"/>
  <c r="E21" i="10"/>
  <c r="L20" i="10"/>
  <c r="B9" i="10"/>
  <c r="E144" i="10"/>
  <c r="E143" i="10"/>
  <c r="E142" i="10"/>
  <c r="E145" i="10"/>
  <c r="E140" i="10"/>
  <c r="E139" i="10"/>
  <c r="E138" i="10"/>
  <c r="K138" i="10" s="1"/>
  <c r="L138" i="10" s="1"/>
  <c r="E137" i="10"/>
  <c r="K137" i="10" s="1"/>
  <c r="L137" i="10" s="1"/>
  <c r="E136" i="10"/>
  <c r="E122" i="10"/>
  <c r="E121" i="10"/>
  <c r="E120" i="10"/>
  <c r="E123" i="10"/>
  <c r="E118" i="10"/>
  <c r="E117" i="10"/>
  <c r="E116" i="10"/>
  <c r="K116" i="10" s="1"/>
  <c r="L116" i="10" s="1"/>
  <c r="E115" i="10"/>
  <c r="K115" i="10" s="1"/>
  <c r="L115" i="10" s="1"/>
  <c r="E114" i="10"/>
  <c r="E56" i="10"/>
  <c r="E55" i="10"/>
  <c r="E54" i="10"/>
  <c r="E57" i="10"/>
  <c r="E52" i="10"/>
  <c r="E51" i="10"/>
  <c r="E50" i="10"/>
  <c r="K50" i="10" s="1"/>
  <c r="L50" i="10" s="1"/>
  <c r="E49" i="10"/>
  <c r="K49" i="10" s="1"/>
  <c r="L49" i="10" s="1"/>
  <c r="E48" i="10"/>
  <c r="F8" i="9"/>
  <c r="L8" i="9" s="1"/>
  <c r="M8" i="9" s="1"/>
  <c r="F10" i="9"/>
  <c r="L10" i="9" s="1"/>
  <c r="M10" i="9" s="1"/>
  <c r="F145" i="9"/>
  <c r="F146" i="9" s="1"/>
  <c r="F185" i="9"/>
  <c r="M184" i="9"/>
  <c r="F167" i="9"/>
  <c r="H167" i="9" s="1"/>
  <c r="M167" i="9" s="1"/>
  <c r="E163" i="9"/>
  <c r="F163" i="9" s="1"/>
  <c r="E162" i="9"/>
  <c r="F162" i="9" s="1"/>
  <c r="F161" i="9"/>
  <c r="H161" i="9" s="1"/>
  <c r="M161" i="9" s="1"/>
  <c r="E159" i="9"/>
  <c r="F159" i="9" s="1"/>
  <c r="H159" i="9" s="1"/>
  <c r="M159" i="9" s="1"/>
  <c r="F158" i="9"/>
  <c r="M157" i="9"/>
  <c r="F156" i="9"/>
  <c r="F155" i="9"/>
  <c r="J155" i="9" s="1"/>
  <c r="M155" i="9" s="1"/>
  <c r="F153" i="9"/>
  <c r="F152" i="9"/>
  <c r="E144" i="9"/>
  <c r="E143" i="9"/>
  <c r="E142" i="9"/>
  <c r="E141" i="9"/>
  <c r="Y139" i="9"/>
  <c r="E138" i="9"/>
  <c r="E137" i="9"/>
  <c r="F127" i="9"/>
  <c r="H127" i="9" s="1"/>
  <c r="M127" i="9" s="1"/>
  <c r="F126" i="9"/>
  <c r="H126" i="9" s="1"/>
  <c r="M126" i="9" s="1"/>
  <c r="E125" i="9"/>
  <c r="F125" i="9" s="1"/>
  <c r="L125" i="9" s="1"/>
  <c r="M125" i="9" s="1"/>
  <c r="F124" i="9"/>
  <c r="J124" i="9" s="1"/>
  <c r="M124" i="9" s="1"/>
  <c r="E114" i="9"/>
  <c r="E113" i="9"/>
  <c r="E112" i="9"/>
  <c r="E111" i="9"/>
  <c r="Y109" i="9"/>
  <c r="F67" i="9"/>
  <c r="H67" i="9" s="1"/>
  <c r="F66" i="9"/>
  <c r="H66" i="9" s="1"/>
  <c r="M66" i="9" s="1"/>
  <c r="F65" i="9"/>
  <c r="F64" i="9"/>
  <c r="L64" i="9" s="1"/>
  <c r="M64" i="9" s="1"/>
  <c r="F63" i="9"/>
  <c r="J63" i="9" s="1"/>
  <c r="E101" i="10"/>
  <c r="E134" i="10"/>
  <c r="E133" i="10"/>
  <c r="E132" i="10"/>
  <c r="E131" i="10"/>
  <c r="E129" i="10"/>
  <c r="E128" i="10"/>
  <c r="E127" i="10"/>
  <c r="K127" i="10" s="1"/>
  <c r="L127" i="10" s="1"/>
  <c r="E126" i="10"/>
  <c r="K126" i="10" s="1"/>
  <c r="L126" i="10" s="1"/>
  <c r="E125" i="10"/>
  <c r="E112" i="10"/>
  <c r="E111" i="10"/>
  <c r="E110" i="10"/>
  <c r="E109" i="10"/>
  <c r="E107" i="10"/>
  <c r="E106" i="10"/>
  <c r="E105" i="10"/>
  <c r="K105" i="10" s="1"/>
  <c r="L105" i="10" s="1"/>
  <c r="E104" i="10"/>
  <c r="K104" i="10" s="1"/>
  <c r="L104" i="10" s="1"/>
  <c r="E103" i="10"/>
  <c r="E100" i="10"/>
  <c r="E99" i="10"/>
  <c r="E98" i="10"/>
  <c r="E96" i="10"/>
  <c r="E95" i="10"/>
  <c r="E94" i="10"/>
  <c r="K94" i="10" s="1"/>
  <c r="L94" i="10" s="1"/>
  <c r="E93" i="10"/>
  <c r="K93" i="10" s="1"/>
  <c r="L93" i="10" s="1"/>
  <c r="E92" i="10"/>
  <c r="E90" i="10"/>
  <c r="E89" i="10"/>
  <c r="E88" i="10"/>
  <c r="E87" i="10"/>
  <c r="E85" i="10"/>
  <c r="E84" i="10"/>
  <c r="E83" i="10"/>
  <c r="K83" i="10" s="1"/>
  <c r="L83" i="10" s="1"/>
  <c r="E82" i="10"/>
  <c r="K82" i="10" s="1"/>
  <c r="L82" i="10" s="1"/>
  <c r="E81" i="10"/>
  <c r="E79" i="10"/>
  <c r="E78" i="10"/>
  <c r="E77" i="10"/>
  <c r="E76" i="10"/>
  <c r="E74" i="10"/>
  <c r="E73" i="10"/>
  <c r="E72" i="10"/>
  <c r="K72" i="10" s="1"/>
  <c r="L72" i="10" s="1"/>
  <c r="E71" i="10"/>
  <c r="K71" i="10" s="1"/>
  <c r="L71" i="10" s="1"/>
  <c r="E70" i="10"/>
  <c r="E68" i="10"/>
  <c r="E67" i="10"/>
  <c r="E66" i="10"/>
  <c r="E65" i="10"/>
  <c r="E63" i="10"/>
  <c r="E62" i="10"/>
  <c r="E61" i="10"/>
  <c r="K61" i="10" s="1"/>
  <c r="L61" i="10" s="1"/>
  <c r="E60" i="10"/>
  <c r="K60" i="10" s="1"/>
  <c r="L60" i="10" s="1"/>
  <c r="E59" i="10"/>
  <c r="F76" i="9"/>
  <c r="F97" i="9"/>
  <c r="H97" i="9" s="1"/>
  <c r="M97" i="9" s="1"/>
  <c r="F96" i="9"/>
  <c r="H96" i="9" s="1"/>
  <c r="M96" i="9" s="1"/>
  <c r="F95" i="9"/>
  <c r="H95" i="9" s="1"/>
  <c r="M95" i="9" s="1"/>
  <c r="F94" i="9"/>
  <c r="H94" i="9" s="1"/>
  <c r="M94" i="9" s="1"/>
  <c r="F93" i="9"/>
  <c r="L93" i="9" s="1"/>
  <c r="M93" i="9" s="1"/>
  <c r="F92" i="9"/>
  <c r="J92" i="9" s="1"/>
  <c r="F90" i="9"/>
  <c r="H90" i="9" s="1"/>
  <c r="M90" i="9" s="1"/>
  <c r="F89" i="9"/>
  <c r="F88" i="9"/>
  <c r="H88" i="9" s="1"/>
  <c r="F87" i="9"/>
  <c r="L87" i="9" s="1"/>
  <c r="E84" i="9"/>
  <c r="F84" i="9" s="1"/>
  <c r="H84" i="9" s="1"/>
  <c r="M84" i="9" s="1"/>
  <c r="F82" i="9"/>
  <c r="L82" i="9" s="1"/>
  <c r="M82" i="9" s="1"/>
  <c r="F81" i="9"/>
  <c r="J81" i="9" s="1"/>
  <c r="E61" i="9"/>
  <c r="F106" i="9"/>
  <c r="F121" i="9"/>
  <c r="H121" i="9" s="1"/>
  <c r="M121" i="9" s="1"/>
  <c r="F120" i="9"/>
  <c r="H120" i="9" s="1"/>
  <c r="M120" i="9" s="1"/>
  <c r="F119" i="9"/>
  <c r="H119" i="9" s="1"/>
  <c r="M119" i="9" s="1"/>
  <c r="F118" i="9"/>
  <c r="H118" i="9" s="1"/>
  <c r="M118" i="9" s="1"/>
  <c r="F117" i="9"/>
  <c r="L117" i="9" s="1"/>
  <c r="M117" i="9" s="1"/>
  <c r="F116" i="9"/>
  <c r="J116" i="9" s="1"/>
  <c r="M116" i="9" s="1"/>
  <c r="E108" i="9"/>
  <c r="F105" i="9" s="1"/>
  <c r="L105" i="9" s="1"/>
  <c r="M105" i="9" s="1"/>
  <c r="E107" i="9"/>
  <c r="F53" i="9"/>
  <c r="F54" i="9" s="1"/>
  <c r="J54" i="9" s="1"/>
  <c r="F48" i="9"/>
  <c r="F52" i="9" s="1"/>
  <c r="H52" i="9" s="1"/>
  <c r="M52" i="9" s="1"/>
  <c r="F74" i="9"/>
  <c r="H74" i="9" s="1"/>
  <c r="M74" i="9" s="1"/>
  <c r="F73" i="9"/>
  <c r="H73" i="9" s="1"/>
  <c r="M73" i="9" s="1"/>
  <c r="F72" i="9"/>
  <c r="H72" i="9" s="1"/>
  <c r="M72" i="9" s="1"/>
  <c r="F71" i="9"/>
  <c r="H71" i="9" s="1"/>
  <c r="M71" i="9" s="1"/>
  <c r="F70" i="9"/>
  <c r="L70" i="9" s="1"/>
  <c r="M70" i="9" s="1"/>
  <c r="F69" i="9"/>
  <c r="J69" i="9" s="1"/>
  <c r="F39" i="9"/>
  <c r="H39" i="9" s="1"/>
  <c r="E38" i="9"/>
  <c r="F38" i="9" s="1"/>
  <c r="M37" i="9"/>
  <c r="F35" i="9"/>
  <c r="F46" i="9"/>
  <c r="H46" i="9" s="1"/>
  <c r="M46" i="9" s="1"/>
  <c r="F45" i="9"/>
  <c r="H45" i="9" s="1"/>
  <c r="F44" i="9"/>
  <c r="H44" i="9" s="1"/>
  <c r="F43" i="9"/>
  <c r="F42" i="9"/>
  <c r="L42" i="9" s="1"/>
  <c r="M42" i="9" s="1"/>
  <c r="F41" i="9"/>
  <c r="J41" i="9" s="1"/>
  <c r="E33" i="9"/>
  <c r="E32" i="9"/>
  <c r="L74" i="10" l="1"/>
  <c r="L62" i="10"/>
  <c r="L107" i="10"/>
  <c r="L106" i="10"/>
  <c r="L96" i="10"/>
  <c r="L90" i="10"/>
  <c r="L68" i="10"/>
  <c r="L66" i="10"/>
  <c r="L63" i="10"/>
  <c r="L139" i="10"/>
  <c r="L117" i="10"/>
  <c r="L46" i="10"/>
  <c r="L34" i="10"/>
  <c r="L140" i="10"/>
  <c r="L123" i="10"/>
  <c r="L85" i="10"/>
  <c r="L43" i="10"/>
  <c r="L42" i="10"/>
  <c r="L37" i="10"/>
  <c r="L33" i="10"/>
  <c r="L145" i="10"/>
  <c r="L118" i="10"/>
  <c r="L79" i="10"/>
  <c r="L57" i="10"/>
  <c r="L52" i="10"/>
  <c r="L51" i="10"/>
  <c r="L84" i="10"/>
  <c r="L101" i="10"/>
  <c r="L134" i="10"/>
  <c r="L128" i="10"/>
  <c r="L112" i="10"/>
  <c r="L129" i="10"/>
  <c r="L131" i="10"/>
  <c r="L59" i="10"/>
  <c r="L77" i="10"/>
  <c r="L125" i="10"/>
  <c r="F141" i="9"/>
  <c r="L141" i="9" s="1"/>
  <c r="M141" i="9" s="1"/>
  <c r="Y141" i="9" s="1"/>
  <c r="F144" i="9"/>
  <c r="H144" i="9" s="1"/>
  <c r="M144" i="9" s="1"/>
  <c r="Y144" i="9" s="1"/>
  <c r="F142" i="9"/>
  <c r="H142" i="9" s="1"/>
  <c r="M142" i="9" s="1"/>
  <c r="Y142" i="9" s="1"/>
  <c r="L110" i="10"/>
  <c r="F143" i="9"/>
  <c r="H143" i="9" s="1"/>
  <c r="M143" i="9" s="1"/>
  <c r="Y143" i="9" s="1"/>
  <c r="F133" i="9"/>
  <c r="H133" i="9" s="1"/>
  <c r="M133" i="9" s="1"/>
  <c r="F131" i="9"/>
  <c r="H131" i="9" s="1"/>
  <c r="M131" i="9" s="1"/>
  <c r="F130" i="9"/>
  <c r="L130" i="9" s="1"/>
  <c r="M130" i="9" s="1"/>
  <c r="F129" i="9"/>
  <c r="B12" i="9"/>
  <c r="B17" i="9" s="1"/>
  <c r="L136" i="10"/>
  <c r="L88" i="10"/>
  <c r="L65" i="10"/>
  <c r="F15" i="9"/>
  <c r="H15" i="9" s="1"/>
  <c r="J13" i="9"/>
  <c r="M13" i="9" s="1"/>
  <c r="L81" i="10"/>
  <c r="F181" i="9"/>
  <c r="L109" i="10"/>
  <c r="H180" i="9"/>
  <c r="M180" i="9" s="1"/>
  <c r="H178" i="9"/>
  <c r="M178" i="9" s="1"/>
  <c r="H174" i="9"/>
  <c r="M174" i="9" s="1"/>
  <c r="H179" i="9"/>
  <c r="M179" i="9" s="1"/>
  <c r="H173" i="9"/>
  <c r="M173" i="9" s="1"/>
  <c r="H172" i="9"/>
  <c r="M172" i="9" s="1"/>
  <c r="H171" i="9"/>
  <c r="J169" i="9"/>
  <c r="M169" i="9" s="1"/>
  <c r="H175" i="9"/>
  <c r="M175" i="9" s="1"/>
  <c r="F176" i="9"/>
  <c r="H176" i="9" s="1"/>
  <c r="M176" i="9" s="1"/>
  <c r="H43" i="9"/>
  <c r="M43" i="9" s="1"/>
  <c r="L103" i="10"/>
  <c r="L92" i="10"/>
  <c r="L98" i="10"/>
  <c r="L39" i="10"/>
  <c r="L99" i="10"/>
  <c r="E97" i="10"/>
  <c r="L97" i="10" s="1"/>
  <c r="L36" i="10"/>
  <c r="E35" i="10"/>
  <c r="L35" i="10" s="1"/>
  <c r="L30" i="10"/>
  <c r="L45" i="10"/>
  <c r="E44" i="10"/>
  <c r="L44" i="10" s="1"/>
  <c r="L78" i="10"/>
  <c r="L142" i="10"/>
  <c r="L114" i="10"/>
  <c r="L143" i="10"/>
  <c r="L48" i="10"/>
  <c r="E12" i="10"/>
  <c r="E11" i="10"/>
  <c r="K11" i="10" s="1"/>
  <c r="E10" i="10"/>
  <c r="L56" i="10"/>
  <c r="H65" i="9"/>
  <c r="M65" i="9" s="1"/>
  <c r="L55" i="10"/>
  <c r="L76" i="10"/>
  <c r="E75" i="10"/>
  <c r="L75" i="10" s="1"/>
  <c r="L100" i="10"/>
  <c r="L111" i="10"/>
  <c r="E108" i="10"/>
  <c r="L108" i="10" s="1"/>
  <c r="H89" i="9"/>
  <c r="M89" i="9" s="1"/>
  <c r="L6" i="10"/>
  <c r="E8" i="10"/>
  <c r="L54" i="10"/>
  <c r="E53" i="10"/>
  <c r="L53" i="10" s="1"/>
  <c r="L133" i="10"/>
  <c r="E130" i="10"/>
  <c r="L130" i="10" s="1"/>
  <c r="L122" i="10"/>
  <c r="L23" i="10"/>
  <c r="L22" i="10"/>
  <c r="L21" i="10"/>
  <c r="K19" i="10"/>
  <c r="L19" i="10" s="1"/>
  <c r="L89" i="10"/>
  <c r="B13" i="10"/>
  <c r="L144" i="10"/>
  <c r="E141" i="10"/>
  <c r="L141" i="10" s="1"/>
  <c r="L121" i="10"/>
  <c r="L120" i="10"/>
  <c r="E119" i="10"/>
  <c r="L119" i="10" s="1"/>
  <c r="H163" i="9"/>
  <c r="M163" i="9" s="1"/>
  <c r="J35" i="9"/>
  <c r="M35" i="9" s="1"/>
  <c r="M67" i="9"/>
  <c r="M63" i="9"/>
  <c r="M45" i="9"/>
  <c r="M44" i="9"/>
  <c r="F36" i="9"/>
  <c r="L36" i="9" s="1"/>
  <c r="M36" i="9" s="1"/>
  <c r="H38" i="9"/>
  <c r="M38" i="9" s="1"/>
  <c r="J140" i="9"/>
  <c r="M140" i="9" s="1"/>
  <c r="Y140" i="9" s="1"/>
  <c r="L70" i="10"/>
  <c r="L73" i="10"/>
  <c r="H153" i="9"/>
  <c r="M153" i="9" s="1"/>
  <c r="L156" i="9"/>
  <c r="M156" i="9" s="1"/>
  <c r="F147" i="9"/>
  <c r="H185" i="9"/>
  <c r="J152" i="9"/>
  <c r="M152" i="9" s="1"/>
  <c r="F160" i="9"/>
  <c r="H160" i="9" s="1"/>
  <c r="M160" i="9" s="1"/>
  <c r="H158" i="9"/>
  <c r="M158" i="9" s="1"/>
  <c r="F164" i="9"/>
  <c r="H164" i="9" s="1"/>
  <c r="M164" i="9" s="1"/>
  <c r="F165" i="9"/>
  <c r="H165" i="9" s="1"/>
  <c r="M165" i="9" s="1"/>
  <c r="F166" i="9"/>
  <c r="H166" i="9" s="1"/>
  <c r="M166" i="9" s="1"/>
  <c r="L146" i="9"/>
  <c r="J146" i="9"/>
  <c r="H162" i="9"/>
  <c r="M162" i="9" s="1"/>
  <c r="F138" i="9"/>
  <c r="H138" i="9" s="1"/>
  <c r="M138" i="9" s="1"/>
  <c r="F137" i="9"/>
  <c r="H137" i="9" s="1"/>
  <c r="M137" i="9" s="1"/>
  <c r="F136" i="9"/>
  <c r="L136" i="9" s="1"/>
  <c r="M136" i="9" s="1"/>
  <c r="F135" i="9"/>
  <c r="J135" i="9" s="1"/>
  <c r="M135" i="9" s="1"/>
  <c r="F114" i="9"/>
  <c r="H114" i="9" s="1"/>
  <c r="M114" i="9" s="1"/>
  <c r="Y114" i="9" s="1"/>
  <c r="F113" i="9"/>
  <c r="H113" i="9" s="1"/>
  <c r="M113" i="9" s="1"/>
  <c r="Y113" i="9" s="1"/>
  <c r="F112" i="9"/>
  <c r="H112" i="9" s="1"/>
  <c r="F111" i="9"/>
  <c r="L111" i="9" s="1"/>
  <c r="M111" i="9" s="1"/>
  <c r="Y111" i="9" s="1"/>
  <c r="F110" i="9"/>
  <c r="J110" i="9" s="1"/>
  <c r="M110" i="9" s="1"/>
  <c r="Y110" i="9" s="1"/>
  <c r="M86" i="9"/>
  <c r="M88" i="9"/>
  <c r="M87" i="9"/>
  <c r="M92" i="9"/>
  <c r="L132" i="10"/>
  <c r="L67" i="10"/>
  <c r="E64" i="10"/>
  <c r="L64" i="10" s="1"/>
  <c r="L87" i="10"/>
  <c r="E86" i="10"/>
  <c r="L86" i="10" s="1"/>
  <c r="E16" i="10"/>
  <c r="E14" i="10"/>
  <c r="L14" i="10" s="1"/>
  <c r="E15" i="10"/>
  <c r="K15" i="10" s="1"/>
  <c r="L15" i="10" s="1"/>
  <c r="F83" i="9"/>
  <c r="H83" i="9" s="1"/>
  <c r="M83" i="9" s="1"/>
  <c r="M81" i="9"/>
  <c r="F79" i="9"/>
  <c r="H79" i="9" s="1"/>
  <c r="M79" i="9" s="1"/>
  <c r="F78" i="9"/>
  <c r="L78" i="9" s="1"/>
  <c r="M78" i="9" s="1"/>
  <c r="F77" i="9"/>
  <c r="J77" i="9" s="1"/>
  <c r="M77" i="9" s="1"/>
  <c r="M26" i="9"/>
  <c r="F107" i="9"/>
  <c r="H107" i="9" s="1"/>
  <c r="M107" i="9" s="1"/>
  <c r="F104" i="9"/>
  <c r="F108" i="9"/>
  <c r="H108" i="9" s="1"/>
  <c r="M108" i="9" s="1"/>
  <c r="F102" i="9"/>
  <c r="H102" i="9" s="1"/>
  <c r="M102" i="9" s="1"/>
  <c r="F101" i="9"/>
  <c r="L101" i="9" s="1"/>
  <c r="M101" i="9" s="1"/>
  <c r="F100" i="9"/>
  <c r="J100" i="9" s="1"/>
  <c r="M100" i="9" s="1"/>
  <c r="F56" i="9"/>
  <c r="H56" i="9" s="1"/>
  <c r="M56" i="9" s="1"/>
  <c r="F55" i="9"/>
  <c r="L55" i="9" s="1"/>
  <c r="M55" i="9" s="1"/>
  <c r="F50" i="9"/>
  <c r="L50" i="9" s="1"/>
  <c r="M50" i="9" s="1"/>
  <c r="F51" i="9"/>
  <c r="H51" i="9" s="1"/>
  <c r="M51" i="9" s="1"/>
  <c r="F49" i="9"/>
  <c r="J49" i="9" s="1"/>
  <c r="F28" i="9"/>
  <c r="H28" i="9" s="1"/>
  <c r="M28" i="9" s="1"/>
  <c r="F27" i="9"/>
  <c r="L27" i="9" s="1"/>
  <c r="M69" i="9"/>
  <c r="F30" i="9"/>
  <c r="J30" i="9" s="1"/>
  <c r="F32" i="9"/>
  <c r="H32" i="9" s="1"/>
  <c r="M32" i="9" s="1"/>
  <c r="M41" i="9"/>
  <c r="M39" i="9"/>
  <c r="F33" i="9"/>
  <c r="H33" i="9" s="1"/>
  <c r="M33" i="9" s="1"/>
  <c r="F31" i="9"/>
  <c r="L31" i="9" s="1"/>
  <c r="M31" i="9" s="1"/>
  <c r="L38" i="3"/>
  <c r="M38" i="3" s="1"/>
  <c r="M15" i="9" l="1"/>
  <c r="J129" i="9"/>
  <c r="M129" i="9" s="1"/>
  <c r="F132" i="9"/>
  <c r="H132" i="9" s="1"/>
  <c r="M132" i="9" s="1"/>
  <c r="B25" i="9"/>
  <c r="B29" i="9" s="1"/>
  <c r="F182" i="9"/>
  <c r="H182" i="9" s="1"/>
  <c r="H181" i="9"/>
  <c r="M181" i="9" s="1"/>
  <c r="M171" i="9"/>
  <c r="B17" i="10"/>
  <c r="L16" i="10"/>
  <c r="K8" i="10"/>
  <c r="M146" i="9"/>
  <c r="M185" i="9"/>
  <c r="M112" i="9"/>
  <c r="Y112" i="9" s="1"/>
  <c r="L95" i="10"/>
  <c r="F149" i="9"/>
  <c r="F148" i="9"/>
  <c r="J148" i="9" s="1"/>
  <c r="M148" i="9" s="1"/>
  <c r="F150" i="9"/>
  <c r="H150" i="9" s="1"/>
  <c r="M150" i="9" s="1"/>
  <c r="M30" i="9"/>
  <c r="M54" i="9"/>
  <c r="E25" i="10"/>
  <c r="E26" i="10"/>
  <c r="E27" i="10"/>
  <c r="L27" i="10" s="1"/>
  <c r="E28" i="10"/>
  <c r="L28" i="10" s="1"/>
  <c r="L12" i="10"/>
  <c r="L11" i="10"/>
  <c r="L10" i="10"/>
  <c r="F61" i="9"/>
  <c r="H61" i="9" s="1"/>
  <c r="M61" i="9" s="1"/>
  <c r="F59" i="9"/>
  <c r="L59" i="9" s="1"/>
  <c r="F58" i="9"/>
  <c r="J58" i="9" s="1"/>
  <c r="J104" i="9"/>
  <c r="H106" i="9"/>
  <c r="M49" i="9"/>
  <c r="M27" i="9"/>
  <c r="M182" i="9" l="1"/>
  <c r="H183" i="9"/>
  <c r="M183" i="9" s="1"/>
  <c r="L147" i="10"/>
  <c r="B24" i="10"/>
  <c r="B29" i="10"/>
  <c r="L18" i="10"/>
  <c r="I146" i="10"/>
  <c r="K146" i="10"/>
  <c r="L8" i="10"/>
  <c r="H149" i="9"/>
  <c r="L149" i="9"/>
  <c r="L186" i="9" s="1"/>
  <c r="M59" i="9"/>
  <c r="M106" i="9"/>
  <c r="M104" i="9"/>
  <c r="L26" i="10"/>
  <c r="L25" i="10"/>
  <c r="J186" i="9"/>
  <c r="F60" i="9"/>
  <c r="H60" i="9" s="1"/>
  <c r="H186" i="9" l="1"/>
  <c r="M187" i="9" s="1"/>
  <c r="B47" i="10"/>
  <c r="B38" i="10"/>
  <c r="L146" i="10"/>
  <c r="L148" i="10" s="1"/>
  <c r="L149" i="10" s="1"/>
  <c r="L150" i="10" s="1"/>
  <c r="L151" i="10" s="1"/>
  <c r="L152" i="10" s="1"/>
  <c r="M149" i="9"/>
  <c r="M58" i="9"/>
  <c r="M60" i="9"/>
  <c r="B58" i="10" l="1"/>
  <c r="B69" i="10" s="1"/>
  <c r="B80" i="10" s="1"/>
  <c r="M186" i="9"/>
  <c r="M188" i="9" s="1"/>
  <c r="M189" i="9" s="1"/>
  <c r="M190" i="9" s="1"/>
  <c r="L153" i="10"/>
  <c r="L154" i="10" s="1"/>
  <c r="L155" i="10" s="1"/>
  <c r="L156" i="10" s="1"/>
  <c r="M191" i="9" l="1"/>
  <c r="M192" i="9" s="1"/>
  <c r="M193" i="9" l="1"/>
  <c r="M194" i="9" s="1"/>
  <c r="M195" i="9" s="1"/>
  <c r="M196" i="9" s="1"/>
  <c r="C3" i="7" s="1"/>
  <c r="C5" i="7"/>
  <c r="F37" i="3" l="1"/>
  <c r="L37" i="3" s="1"/>
  <c r="M36" i="3"/>
  <c r="M37" i="3" l="1"/>
  <c r="L40" i="3"/>
  <c r="H33" i="3" l="1"/>
  <c r="M33" i="3" s="1"/>
  <c r="H24" i="3"/>
  <c r="M24" i="3" s="1"/>
  <c r="H23" i="3"/>
  <c r="M23" i="3" s="1"/>
  <c r="H22" i="3"/>
  <c r="M22" i="3" s="1"/>
  <c r="F16" i="3"/>
  <c r="F32" i="3"/>
  <c r="F21" i="3"/>
  <c r="H18" i="3"/>
  <c r="H17" i="3"/>
  <c r="F34" i="3"/>
  <c r="F35" i="3" s="1"/>
  <c r="F29" i="3"/>
  <c r="H29" i="3" s="1"/>
  <c r="M29" i="3" s="1"/>
  <c r="F28" i="3"/>
  <c r="M27" i="3"/>
  <c r="F26" i="3"/>
  <c r="M34" i="3"/>
  <c r="F13" i="3"/>
  <c r="F11" i="3"/>
  <c r="F9" i="3"/>
  <c r="F7" i="3"/>
  <c r="B10" i="3" l="1"/>
  <c r="J13" i="3"/>
  <c r="M13" i="3" s="1"/>
  <c r="J11" i="3"/>
  <c r="M11" i="3" s="1"/>
  <c r="J9" i="3"/>
  <c r="M9" i="3" s="1"/>
  <c r="F30" i="3"/>
  <c r="F31" i="3" s="1"/>
  <c r="J31" i="3" s="1"/>
  <c r="M31" i="3" s="1"/>
  <c r="F19" i="3"/>
  <c r="F20" i="3" s="1"/>
  <c r="J20" i="3" s="1"/>
  <c r="M20" i="3" s="1"/>
  <c r="F14" i="3"/>
  <c r="F15" i="3" s="1"/>
  <c r="J15" i="3" s="1"/>
  <c r="M15" i="3" s="1"/>
  <c r="M17" i="3"/>
  <c r="M18" i="3"/>
  <c r="H28" i="3"/>
  <c r="J26" i="3"/>
  <c r="M26" i="3" s="1"/>
  <c r="H35" i="3"/>
  <c r="M35" i="3" s="1"/>
  <c r="J7" i="3"/>
  <c r="B12" i="3" l="1"/>
  <c r="B14" i="3" s="1"/>
  <c r="M28" i="3"/>
  <c r="H40" i="3"/>
  <c r="M41" i="3" s="1"/>
  <c r="M7" i="3"/>
  <c r="J40" i="3"/>
  <c r="B16" i="3" l="1"/>
  <c r="B19" i="3" s="1"/>
  <c r="M40" i="3"/>
  <c r="M42" i="3" s="1"/>
  <c r="M43" i="3" s="1"/>
  <c r="M44" i="3" s="1"/>
  <c r="M45" i="3" s="1"/>
  <c r="M46" i="3" s="1"/>
  <c r="B21" i="3" l="1"/>
  <c r="B25" i="3" s="1"/>
  <c r="B30" i="3" s="1"/>
  <c r="M47" i="3"/>
  <c r="M48" i="3" s="1"/>
  <c r="M49" i="3" s="1"/>
  <c r="M50" i="3" s="1"/>
  <c r="D5" i="7"/>
  <c r="B32" i="3" l="1"/>
  <c r="B34" i="3" s="1"/>
  <c r="B36" i="3" l="1"/>
  <c r="D3" i="7" l="1"/>
  <c r="C4" i="7" l="1"/>
  <c r="C6" i="7" s="1"/>
  <c r="B34" i="9"/>
  <c r="D4" i="7" l="1"/>
  <c r="D6" i="7" s="1"/>
  <c r="B40" i="9"/>
  <c r="B48" i="9" l="1"/>
  <c r="B53" i="9" l="1"/>
  <c r="B57" i="9" l="1"/>
  <c r="B62" i="9" l="1"/>
  <c r="B68" i="9" l="1"/>
  <c r="B76" i="9" s="1"/>
  <c r="B80" i="9" l="1"/>
  <c r="B85" i="9" l="1"/>
  <c r="B91" i="9" s="1"/>
  <c r="B99" i="9" s="1"/>
  <c r="B103" i="9" s="1"/>
  <c r="B109" i="9" s="1"/>
  <c r="B115" i="9" l="1"/>
  <c r="B123" i="9" s="1"/>
  <c r="B128" i="9" s="1"/>
  <c r="B134" i="9" s="1"/>
  <c r="B139" i="9" l="1"/>
  <c r="B91" i="10" l="1"/>
  <c r="B102" i="10" s="1"/>
  <c r="B113" i="10" s="1"/>
  <c r="B124" i="10" s="1"/>
  <c r="B135" i="10" s="1"/>
  <c r="B145" i="9" l="1"/>
  <c r="B147" i="9"/>
  <c r="B154" i="9"/>
  <c r="B168" i="9"/>
  <c r="B151" i="9"/>
  <c r="B184" i="9"/>
</calcChain>
</file>

<file path=xl/sharedStrings.xml><?xml version="1.0" encoding="utf-8"?>
<sst xmlns="http://schemas.openxmlformats.org/spreadsheetml/2006/main" count="779" uniqueCount="188">
  <si>
    <t>დასახელება</t>
  </si>
  <si>
    <t>ჯამი ლარში</t>
  </si>
  <si>
    <t>ჯამი დოლარში</t>
  </si>
  <si>
    <t>ვერტიკალური გეგმარება</t>
  </si>
  <si>
    <t>დენდროლოგია</t>
  </si>
  <si>
    <t>საყრდენი კედლები</t>
  </si>
  <si>
    <t>#</t>
  </si>
  <si>
    <t>სამუშაოს დასახელება</t>
  </si>
  <si>
    <t>განზომილება</t>
  </si>
  <si>
    <t>ნორმ. ერთეული</t>
  </si>
  <si>
    <t>რაოდენობა</t>
  </si>
  <si>
    <t>მასალა</t>
  </si>
  <si>
    <t>ხელფასი</t>
  </si>
  <si>
    <t>მანქანა- მექანიზმები</t>
  </si>
  <si>
    <t>სულ</t>
  </si>
  <si>
    <t>ერთ. ფასი</t>
  </si>
  <si>
    <t>ჯამი</t>
  </si>
  <si>
    <t>III კატ გრუნტის მოჭრა, გვერდზე დაყრით, უკან შემოტანით და მოსწორებით</t>
  </si>
  <si>
    <t>კუბ.მ</t>
  </si>
  <si>
    <t>მანქანა-მექანიზმები (ექსკავატორი და თვითმცლელი)</t>
  </si>
  <si>
    <t>III კატ გრუნტის მოჭრა, დატვირთვა თვითმცლელებზე,გატანით 15კმ და მუშაობა ნაყარში</t>
  </si>
  <si>
    <t>დაფხაჭნილი ბეტონის მოედნების მოწყობა სტადიონთან</t>
  </si>
  <si>
    <t>საძირკვლის ფენის მოწყობა ფრაქციული ღორღით (0-40) სისქით 15სმ</t>
  </si>
  <si>
    <t>მ3</t>
  </si>
  <si>
    <t>შრომის დანახარჯები</t>
  </si>
  <si>
    <t>მ/სთ</t>
  </si>
  <si>
    <t>ღორღი ფრაქციით (0-40)</t>
  </si>
  <si>
    <t>kub.m.</t>
  </si>
  <si>
    <t>საფუძვლის ზედა ფენის მოწყობა ქვიშა-ცემენტის ნარევით 10სმ</t>
  </si>
  <si>
    <t>ქვიშა შავი</t>
  </si>
  <si>
    <t>ცემენტი</t>
  </si>
  <si>
    <t>ტონა</t>
  </si>
  <si>
    <t>ფხაჭიანი ბეტონის მოწყობა</t>
  </si>
  <si>
    <t>მ²</t>
  </si>
  <si>
    <t xml:space="preserve">შრომის დანახარჯები </t>
  </si>
  <si>
    <t>ბეტონის ტუმბო</t>
  </si>
  <si>
    <t>მ³</t>
  </si>
  <si>
    <t>მასალა:</t>
  </si>
  <si>
    <t>ბეტონი B25</t>
  </si>
  <si>
    <r>
      <t xml:space="preserve">არმატურის შენადუღები ბადე </t>
    </r>
    <r>
      <rPr>
        <sz val="9"/>
        <rFont val="Calibri Light"/>
        <family val="2"/>
      </rPr>
      <t>Ø6</t>
    </r>
  </si>
  <si>
    <t>ბეტონის ბორდიურების მოწყობა,ხომით  15X30, ფუძე ბეტონი B15</t>
  </si>
  <si>
    <t>გრძ.მ</t>
  </si>
  <si>
    <t>მანქანა-მექანიზმები</t>
  </si>
  <si>
    <t>ლარი</t>
  </si>
  <si>
    <t>ბორდიურის ქვა 15X30</t>
  </si>
  <si>
    <r>
      <t>ბეტონი~</t>
    </r>
    <r>
      <rPr>
        <sz val="10"/>
        <rFont val="Aptos Narrow"/>
        <family val="2"/>
        <charset val="204"/>
        <scheme val="minor"/>
      </rPr>
      <t>B15</t>
    </r>
    <r>
      <rPr>
        <sz val="10"/>
        <rFont val="AcadNusx"/>
      </rPr>
      <t>~</t>
    </r>
  </si>
  <si>
    <t>ცემენტის ხსნარი</t>
  </si>
  <si>
    <t>სხვა მასალა</t>
  </si>
  <si>
    <t>გამწვანებული ფილებით ავტოსადგომის მოწყობა</t>
  </si>
  <si>
    <r>
      <t xml:space="preserve">საფუძვლის ქვედა ფენის მოწყობა -ქვიშა-ხრეშით  </t>
    </r>
    <r>
      <rPr>
        <b/>
        <sz val="10"/>
        <rFont val="Aptos Narrow"/>
        <family val="2"/>
        <charset val="204"/>
        <scheme val="minor"/>
      </rPr>
      <t>H=25</t>
    </r>
    <r>
      <rPr>
        <b/>
        <sz val="10"/>
        <rFont val="AcadNusx"/>
      </rPr>
      <t>sm</t>
    </r>
  </si>
  <si>
    <t>ქვიშა-ხრეში</t>
  </si>
  <si>
    <t>მ3.</t>
  </si>
  <si>
    <t>წყალი</t>
  </si>
  <si>
    <t>საფუძველი  ღორღით (0-40) სისქით 10სმ</t>
  </si>
  <si>
    <t>ქვიშის ფენის მოწყობა 8სმ</t>
  </si>
  <si>
    <t>მ2</t>
  </si>
  <si>
    <t>ავტოგრეიდერი 108 ცხ.ძ.</t>
  </si>
  <si>
    <t>მანქ/სთ</t>
  </si>
  <si>
    <r>
      <t>მ</t>
    </r>
    <r>
      <rPr>
        <vertAlign val="superscript"/>
        <sz val="11"/>
        <rFont val="Sylfaen"/>
        <family val="1"/>
      </rPr>
      <t>3</t>
    </r>
  </si>
  <si>
    <t>გამწვანებული ფილებით საფარის მოწყობა 0.1მ</t>
  </si>
  <si>
    <t>კვ.მ.</t>
  </si>
  <si>
    <t>შრომის დანახარჯი</t>
  </si>
  <si>
    <t xml:space="preserve">სხვა მანქანები </t>
  </si>
  <si>
    <t>ფილები</t>
  </si>
  <si>
    <t>ქვიშა ყვითელი</t>
  </si>
  <si>
    <t>კუბ.მ.</t>
  </si>
  <si>
    <t>სხვადასხვა მასალები</t>
  </si>
  <si>
    <t>გამწვანებული ფილებით ბილიკის მოწყობა</t>
  </si>
  <si>
    <t>საფუძველი  ღორღით (0-40) სისქით 15სმ</t>
  </si>
  <si>
    <t>გამწვანებული ფილებით საფარის მოწყობა 6სმ</t>
  </si>
  <si>
    <t>საფუძვლის ზედა ფენის მოწყობა ქვიშა-ცემენტის ნარევით 10სმ, ლითონის ბადეზე</t>
  </si>
  <si>
    <r>
      <t>მ</t>
    </r>
    <r>
      <rPr>
        <vertAlign val="superscript"/>
        <sz val="10"/>
        <rFont val="Sylfaen"/>
        <family val="1"/>
      </rPr>
      <t>2</t>
    </r>
  </si>
  <si>
    <t>ქვიშა-ცემენტის ხსნარი</t>
  </si>
  <si>
    <t>კგ</t>
  </si>
  <si>
    <t>დამცავი მემბრანა</t>
  </si>
  <si>
    <t>კვ.მ</t>
  </si>
  <si>
    <t xml:space="preserve">სხვა მასალა </t>
  </si>
  <si>
    <t>მოჭიმვა ქვიშაცემენტის ხსნარით  სისქით  h=0.065მ</t>
  </si>
  <si>
    <t>სხვა მანქანები</t>
  </si>
  <si>
    <t>ქვიშა-ცემენტის ხსნარი 1:3</t>
  </si>
  <si>
    <r>
      <t>მ</t>
    </r>
    <r>
      <rPr>
        <vertAlign val="superscript"/>
        <sz val="10"/>
        <rFont val="Sylfaen"/>
        <family val="1"/>
      </rPr>
      <t>3</t>
    </r>
  </si>
  <si>
    <t>სხვა მასალები</t>
  </si>
  <si>
    <t>მიწის სამუშაოები სანიაღვრესთვის</t>
  </si>
  <si>
    <t>ტრანშეის ქვიშით შევსება</t>
  </si>
  <si>
    <t>სხვა მანქანა</t>
  </si>
  <si>
    <t>ქვიშა</t>
  </si>
  <si>
    <r>
      <t>მ</t>
    </r>
    <r>
      <rPr>
        <vertAlign val="superscript"/>
        <sz val="10"/>
        <color theme="1"/>
        <rFont val="Calibri Light"/>
        <family val="2"/>
      </rPr>
      <t>3</t>
    </r>
  </si>
  <si>
    <t>ცალი</t>
  </si>
  <si>
    <r>
      <t xml:space="preserve">არმატურა </t>
    </r>
    <r>
      <rPr>
        <sz val="10"/>
        <rFont val="Times New Roman"/>
        <family val="1"/>
        <charset val="204"/>
      </rPr>
      <t>Ø</t>
    </r>
    <r>
      <rPr>
        <sz val="10"/>
        <rFont val="Aptos Display"/>
        <family val="2"/>
        <scheme val="major"/>
      </rPr>
      <t>10</t>
    </r>
  </si>
  <si>
    <t>ტ</t>
  </si>
  <si>
    <t>ყალიბი</t>
  </si>
  <si>
    <t/>
  </si>
  <si>
    <t>მილკვადრატი 20*40*2</t>
  </si>
  <si>
    <t>კუთხოვანა 60*5</t>
  </si>
  <si>
    <t>ელექტროდი</t>
  </si>
  <si>
    <t>საჭრელი დისკი</t>
  </si>
  <si>
    <t>ანტიკოროზიული საღებავი</t>
  </si>
  <si>
    <t>პადელის მოედნის მოწყობა (სკამების გათვალისწინებით)</t>
  </si>
  <si>
    <t>კომპ.</t>
  </si>
  <si>
    <t>სატრანსპორტო ხარჯი მასალიდან</t>
  </si>
  <si>
    <t>ზედნადები ხარჯები</t>
  </si>
  <si>
    <t>გეგმიური დაგროვება</t>
  </si>
  <si>
    <t xml:space="preserve">გაუთვალისწინებელი ხარჯი </t>
  </si>
  <si>
    <t>დღგ</t>
  </si>
  <si>
    <t>არსებული მცენარეების ფორმირება (გამხმარი ტოტების მოჭრა, გასხვლა)</t>
  </si>
  <si>
    <t>არსებული ზეხმელი,ხმობადი და ხილ-კენკროვანი ხეების მოჭრა</t>
  </si>
  <si>
    <t>არსებული ხეების გადარგვა საპროექტო ტერიტორიაზე</t>
  </si>
  <si>
    <t>ხეების დამაგრება (საპროექტო და გადასარგავი) ქარისგან დასაცავად (აკაციის 2 სარზე)</t>
  </si>
  <si>
    <t>ადგილების მომზადება წიწვიანი ხეების დასარგავად ნოყიერი მიწის ნაზავის დამატებით ორმოებში. (ორმოს ზომა 0.8X0.8X0.8)</t>
  </si>
  <si>
    <t>წიწვიანი ხეების დარგვა</t>
  </si>
  <si>
    <t>ჰიმალაური კედარი</t>
  </si>
  <si>
    <t>არიზონის კვიპაროსი</t>
  </si>
  <si>
    <t>ადგილების მომზადება ფოთლოვანი ხეების დასარგავად 50% ნოყიერი მიწის ნაზავის დამატებით ორმოებში. (ორმოს ზომა ) 0.8X0.8X0.8</t>
  </si>
  <si>
    <t xml:space="preserve">ფოთლოვანი ხეების დარგვა </t>
  </si>
  <si>
    <t>შაქრის ნეკერჩხალი</t>
  </si>
  <si>
    <t>ცაცხვი წვრილფოთოლა</t>
  </si>
  <si>
    <t>ნეკერჩხალი ჩადარფოთოლა</t>
  </si>
  <si>
    <t>15 სმ. სისქის ნოყიერი მიწის ნაზავის (ჰუმუსიანი ფენის შეტანა და გაშლა, ჩვეულებრივი გაზონის მოსაწყობად</t>
  </si>
  <si>
    <t>კაც/სთ</t>
  </si>
  <si>
    <t>ფხვიერი მიწა</t>
  </si>
  <si>
    <t>ადგილების მომზადება ბუჩქების დასარგავად 50% ნოყიერი მიწის დამატებით ორმოებში. ორმოს ზომა 0.5X0.5X0.5</t>
  </si>
  <si>
    <t>ბუჩქების დარგვა</t>
  </si>
  <si>
    <t>წყავი კავკასიური</t>
  </si>
  <si>
    <t>გაზონის მოწყობა და ირიგაცია</t>
  </si>
  <si>
    <t>ნაგვის გატანა</t>
  </si>
  <si>
    <t>რეისი</t>
  </si>
  <si>
    <t>JCB</t>
  </si>
  <si>
    <t>სატკეპნი</t>
  </si>
  <si>
    <t>ბეტონის მომზადების მოწყობა</t>
  </si>
  <si>
    <t>ბეტონი B7.5</t>
  </si>
  <si>
    <t>ბიტუმის პრაიმერი</t>
  </si>
  <si>
    <t xml:space="preserve">საიზოლაციო მასალა </t>
  </si>
  <si>
    <t>გაზი</t>
  </si>
  <si>
    <t>მონოლითური რკ.ბეტონის საყრდენი კედლის მოწყობა 5.1</t>
  </si>
  <si>
    <t>ბეტონი В25</t>
  </si>
  <si>
    <t>საყალიბე სისტემა - კედლები</t>
  </si>
  <si>
    <t xml:space="preserve">არმატურის კარკასის დამზადების მასალები </t>
  </si>
  <si>
    <t>არმატურა А500С Ø=8მმ</t>
  </si>
  <si>
    <t>არმატურა А500С Ø=10მმ</t>
  </si>
  <si>
    <t>არმატურა А500С Ø=12მმ</t>
  </si>
  <si>
    <t>მონოლითური რკ.ბეტონის საყრდენი კედლის მოწყობა 6</t>
  </si>
  <si>
    <t>მონოლითური რკ.ბეტონის საყრდენი კედლის მოწყობა 6.1</t>
  </si>
  <si>
    <t>მონოლითური რკ.ბეტონის საყრდენი კედლის მოწყობა 6.2</t>
  </si>
  <si>
    <t>მონოლითური რკ.ბეტონის საყრდენი კედლის მოწყობა 10</t>
  </si>
  <si>
    <t>არმატურა А500С Ø=14მმ</t>
  </si>
  <si>
    <t>მონოლითური რკ.ბეტონის საყრდენი კედლის მოწყობა 11</t>
  </si>
  <si>
    <t>ჰიდროიზოლაცია</t>
  </si>
  <si>
    <t>მონოლითური რკ.ბეტონის საყრდენი კედლის მოწყობა 5.0</t>
  </si>
  <si>
    <t>მონოლითური რკ.ბეტონის საყრდენი კედლის მოწყობა 10.1</t>
  </si>
  <si>
    <t>მონოლითური რკ.ბეტონის საყრდენი კედლის მოწყობა 11.1</t>
  </si>
  <si>
    <t>ბიტუმის მასტიკა</t>
  </si>
  <si>
    <t>საძირკვლის ჰიდროიზოლაცია ორი ფენა</t>
  </si>
  <si>
    <t>მანქან მექანიზმები</t>
  </si>
  <si>
    <t>ბალასტი</t>
  </si>
  <si>
    <t>კედლების ჰიდროიზოლაცია გრუნტის შეხების ადგილებში (ზუსტი მოცულობა გრუნტის მიხედვით დადგინდეს ადგილზე)</t>
  </si>
  <si>
    <t>გრუნტის უკუ ჩაყრა და დატკეპნა</t>
  </si>
  <si>
    <t>გრუნტის მოჭრა, დატვირთვა მაქნქანა -მექანიზმებზე და გატანა 15კმ</t>
  </si>
  <si>
    <t xml:space="preserve">ბალასტის შემოტანა გაშლა და დატკეპნა </t>
  </si>
  <si>
    <t xml:space="preserve"> სანიაღვრე არხის ცხაურის მოწყობა</t>
  </si>
  <si>
    <t>სანიაღვრე არხების არსებულ ქსელზე დაერთება</t>
  </si>
  <si>
    <t>მონოლითური რკ.ბეტონის საყრდენი კედლის მოწყობა1.0</t>
  </si>
  <si>
    <t>მონოლითური რკ.ბეტონის საყრდენი კედლის მოწყობა1.1</t>
  </si>
  <si>
    <t>მილკვადრატი 80*40*3</t>
  </si>
  <si>
    <t>ზოლოვანა 80*10</t>
  </si>
  <si>
    <t>ზოლოვანა 80*6</t>
  </si>
  <si>
    <t>ზოლოვანა 25*10</t>
  </si>
  <si>
    <t>ფურცლოვანა 100X100X6 მმ</t>
  </si>
  <si>
    <t>ანკერი M10</t>
  </si>
  <si>
    <t>მილკვადრატის ზედაპირის დაგრუნტვა</t>
  </si>
  <si>
    <t>მილკვადრატის ზედაპირის შეღებვა</t>
  </si>
  <si>
    <t>ზოლოვანის ზედაპირის დაგრუნტვა</t>
  </si>
  <si>
    <t>ზოლოვანის ზედაპირის შეღებვა</t>
  </si>
  <si>
    <t>ქვიშის ფენის მოწყობა 10სმ</t>
  </si>
  <si>
    <t>ბილიკის მოწყობა ბრუსჩატკით</t>
  </si>
  <si>
    <t>ბილიკის მოწყობა ბრუსჩატკის ფილებით  100X50X80მმ</t>
  </si>
  <si>
    <t xml:space="preserve">ქვიშა </t>
  </si>
  <si>
    <t>ჰიდროიზოლაციის მოწყობა 2ფენა</t>
  </si>
  <si>
    <t>ბილიკის მოწყობა ბაზალტის ფილებით</t>
  </si>
  <si>
    <t>ბაზალტის ფილები მოწყობა (გრუნტზე)</t>
  </si>
  <si>
    <t>ბაზალტის ფილების მოწყობა არსებული ბეტონი საფარზე (პარკინგის გადახურვა</t>
  </si>
  <si>
    <t xml:space="preserve">ბილიკის მოწყობა ბაზალტის ფილებით </t>
  </si>
  <si>
    <t>ბაზალტის ფილა  300X300X20მმ</t>
  </si>
  <si>
    <t>ლითონის მოაჯირების მოწყობა და შეღებვა</t>
  </si>
  <si>
    <t>ცემენტის ხსნარი 1:2</t>
  </si>
  <si>
    <t>ლითონის ბადეც15X15X6</t>
  </si>
  <si>
    <t>სანიაღვრე მილი 100მმ პოლიეთილენი</t>
  </si>
  <si>
    <t>ლითონის სანიაღვრე ცხაური 200X500X20</t>
  </si>
  <si>
    <t>ბორდიურის ქვა 15X30X100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</si>
</sst>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1" formatCode="_(* #,##0_);_(* \(#,##0\);_(* &quot;-&quot;_);_(@_)"/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_(* #,##0_);_(* \(#,##0\);_(* &quot;-&quot;??_);_(@_)"/>
    <numFmt numFmtId="167" formatCode="_-* #,##0_-;\-* #,##0_-;_-* &quot;-&quot;??_-;_-@_-"/>
    <numFmt numFmtId="168" formatCode="#,##0.0\ [$₾-437]"/>
    <numFmt numFmtId="169" formatCode="_-* #,##0.00\ &quot;₾&quot;_-;\-* #,##0.00\ &quot;₾&quot;_-;_-* &quot;-&quot;??\ &quot;₾&quot;_-;_-@_-"/>
    <numFmt numFmtId="170" formatCode="#,##0\ [$₾-437]"/>
    <numFmt numFmtId="171" formatCode="_-* #,##0\ [$₾-437]_-;\-* #,##0\ [$₾-437]_-;_-* &quot;-&quot;??\ [$₾-437]_-;_-@_-"/>
    <numFmt numFmtId="172" formatCode="_-* #,##0.00_р_._-;\-* #,##0.00_р_._-;_-* &quot;-&quot;??_р_._-;_-@_-"/>
    <numFmt numFmtId="173" formatCode="_-* #,##0.00\ _₾_-;\-* #,##0.00\ _₾_-;_-* &quot;-&quot;??\ _₾_-;_-@_-"/>
    <numFmt numFmtId="174" formatCode="_-* #,##0.00\ _L_a_r_i_-;\-* #,##0.00\ _L_a_r_i_-;_-* &quot;-&quot;??\ _L_a_r_i_-;_-@_-"/>
    <numFmt numFmtId="175" formatCode="_-* #,##0.00\ [$₾-437]_-;\-* #,##0.00\ [$₾-437]_-;_-* &quot;-&quot;??\ [$₾-437]_-;_-@_-"/>
    <numFmt numFmtId="176" formatCode="_-[$$-409]* #,##0.00_ ;_-[$$-409]* \-#,##0.00\ ;_-[$$-409]* &quot;-&quot;??_ ;_-@_ "/>
    <numFmt numFmtId="177" formatCode="_(* #,##0.0_);_(* \(#,##0.0\);_(* &quot;-&quot;??_);_(@_)"/>
  </numFmts>
  <fonts count="6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  <charset val="204"/>
    </font>
    <font>
      <sz val="10"/>
      <name val="Calibri Light"/>
      <family val="2"/>
    </font>
    <font>
      <b/>
      <sz val="11"/>
      <color theme="0"/>
      <name val="Calibri Light"/>
      <family val="2"/>
    </font>
    <font>
      <sz val="10"/>
      <color theme="1"/>
      <name val="Calibri Light"/>
      <family val="2"/>
    </font>
    <font>
      <sz val="11"/>
      <name val="Calibri Light"/>
      <family val="2"/>
    </font>
    <font>
      <b/>
      <sz val="11"/>
      <name val="Calibri Light"/>
      <family val="2"/>
    </font>
    <font>
      <vertAlign val="superscript"/>
      <sz val="10"/>
      <color theme="1"/>
      <name val="Calibri Light"/>
      <family val="2"/>
    </font>
    <font>
      <sz val="10"/>
      <name val="Arial"/>
      <family val="2"/>
    </font>
    <font>
      <sz val="9"/>
      <name val="Calibri Light"/>
      <family val="2"/>
    </font>
    <font>
      <i/>
      <sz val="10"/>
      <name val="Calibri Light"/>
      <family val="2"/>
    </font>
    <font>
      <b/>
      <sz val="10"/>
      <color theme="1"/>
      <name val="Calibri Light"/>
      <family val="2"/>
    </font>
    <font>
      <b/>
      <sz val="10"/>
      <color theme="0"/>
      <name val="Calibri Light"/>
      <family val="2"/>
    </font>
    <font>
      <i/>
      <sz val="10"/>
      <color theme="1"/>
      <name val="Calibri Light"/>
      <family val="2"/>
    </font>
    <font>
      <sz val="11"/>
      <color theme="1"/>
      <name val="Calibri Light"/>
      <family val="2"/>
    </font>
    <font>
      <sz val="11"/>
      <color theme="1"/>
      <name val="Aptos Narrow"/>
      <family val="2"/>
      <charset val="204"/>
      <scheme val="minor"/>
    </font>
    <font>
      <sz val="11"/>
      <color theme="1"/>
      <name val="Aptos Display"/>
      <family val="2"/>
      <scheme val="major"/>
    </font>
    <font>
      <sz val="12"/>
      <color theme="1"/>
      <name val="Aptos Display"/>
      <family val="2"/>
      <scheme val="major"/>
    </font>
    <font>
      <sz val="11"/>
      <name val="Times New Roman"/>
      <family val="1"/>
      <charset val="204"/>
    </font>
    <font>
      <sz val="10"/>
      <name val="Arial Cyr"/>
      <family val="2"/>
      <charset val="204"/>
    </font>
    <font>
      <b/>
      <sz val="16"/>
      <color theme="0"/>
      <name val="Calibri Light"/>
      <family val="2"/>
    </font>
    <font>
      <sz val="16"/>
      <color theme="1"/>
      <name val="Calibri Light"/>
      <family val="2"/>
    </font>
    <font>
      <sz val="11"/>
      <color rgb="FFFF0000"/>
      <name val="Calibri Light"/>
      <family val="2"/>
    </font>
    <font>
      <sz val="11"/>
      <color rgb="FFFF0000"/>
      <name val="Aptos Narrow"/>
      <family val="2"/>
      <scheme val="minor"/>
    </font>
    <font>
      <sz val="11"/>
      <color theme="0" tint="-0.499984740745262"/>
      <name val="Aptos Narrow"/>
      <family val="2"/>
      <scheme val="minor"/>
    </font>
    <font>
      <sz val="10"/>
      <color rgb="FFFF0000"/>
      <name val="Calibri Light"/>
      <family val="2"/>
    </font>
    <font>
      <sz val="10"/>
      <name val="AcadNusx"/>
    </font>
    <font>
      <b/>
      <sz val="10"/>
      <name val="AcadNusx"/>
    </font>
    <font>
      <sz val="10"/>
      <name val="Aptos Narrow"/>
      <family val="2"/>
      <charset val="204"/>
      <scheme val="minor"/>
    </font>
    <font>
      <sz val="11"/>
      <color theme="1"/>
      <name val="Aptos Narrow"/>
      <family val="2"/>
      <charset val="1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charset val="204"/>
    </font>
    <font>
      <sz val="10"/>
      <name val="ChveuNusx"/>
    </font>
    <font>
      <sz val="10"/>
      <name val="Helv"/>
    </font>
    <font>
      <u/>
      <sz val="10"/>
      <color theme="10"/>
      <name val="Arial"/>
      <family val="2"/>
      <charset val="204"/>
    </font>
    <font>
      <sz val="11"/>
      <color theme="1"/>
      <name val="Arial"/>
      <family val="2"/>
      <charset val="204"/>
    </font>
    <font>
      <u/>
      <sz val="11"/>
      <color theme="10"/>
      <name val="Aptos Narrow"/>
      <family val="2"/>
      <charset val="1"/>
      <scheme val="minor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1"/>
      <color indexed="8"/>
      <name val="Calibri"/>
      <family val="2"/>
      <charset val="1"/>
    </font>
    <font>
      <b/>
      <sz val="10"/>
      <name val="Aptos Narrow"/>
      <family val="2"/>
      <charset val="204"/>
      <scheme val="minor"/>
    </font>
    <font>
      <sz val="10"/>
      <name val="Sylfaen"/>
      <family val="1"/>
    </font>
    <font>
      <sz val="11"/>
      <name val="Sylfaen"/>
      <family val="1"/>
    </font>
    <font>
      <b/>
      <i/>
      <sz val="10.5"/>
      <name val="Sylfaen"/>
      <family val="1"/>
    </font>
    <font>
      <vertAlign val="superscript"/>
      <sz val="10"/>
      <name val="Sylfaen"/>
      <family val="1"/>
    </font>
    <font>
      <vertAlign val="superscript"/>
      <sz val="11"/>
      <name val="Sylfaen"/>
      <family val="1"/>
    </font>
    <font>
      <i/>
      <sz val="10"/>
      <name val="Calibri"/>
      <family val="2"/>
    </font>
    <font>
      <sz val="10"/>
      <name val="Times New Roman"/>
      <family val="1"/>
      <charset val="204"/>
    </font>
    <font>
      <sz val="10"/>
      <name val="Aptos Display"/>
      <family val="2"/>
      <scheme val="major"/>
    </font>
    <font>
      <sz val="11"/>
      <color indexed="8"/>
      <name val="Calibri"/>
      <family val="2"/>
      <charset val="204"/>
    </font>
    <font>
      <sz val="10"/>
      <name val="Aptos Display"/>
      <family val="1"/>
      <scheme val="major"/>
    </font>
    <font>
      <sz val="11"/>
      <name val="Aptos Display"/>
      <family val="1"/>
      <scheme val="major"/>
    </font>
    <font>
      <sz val="11"/>
      <name val="Aptos Narrow"/>
      <family val="2"/>
      <scheme val="minor"/>
    </font>
    <font>
      <sz val="10"/>
      <color theme="0"/>
      <name val="Aptos Display"/>
      <family val="1"/>
      <scheme val="major"/>
    </font>
    <font>
      <sz val="11"/>
      <color theme="0"/>
      <name val="Aptos Display"/>
      <family val="1"/>
      <scheme val="major"/>
    </font>
    <font>
      <sz val="10"/>
      <color theme="0"/>
      <name val="Calibri Light"/>
      <family val="2"/>
    </font>
    <font>
      <b/>
      <sz val="11"/>
      <color rgb="FFFF0000"/>
      <name val="Calibri Light"/>
      <family val="2"/>
    </font>
    <font>
      <b/>
      <sz val="10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rgb="FF195A6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68E96"/>
        <bgColor indexed="64"/>
      </patternFill>
    </fill>
  </fills>
  <borders count="19">
    <border>
      <left/>
      <right/>
      <top/>
      <bottom/>
      <diagonal/>
    </border>
    <border>
      <left style="thin">
        <color theme="0" tint="-0.34998626667073579"/>
      </left>
      <right style="thin">
        <color theme="0" tint="-4.9989318521683403E-2"/>
      </right>
      <top style="thin">
        <color theme="0" tint="-0.34998626667073579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0.34998626667073579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0.34998626667073579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/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0.34998626667073579"/>
      </right>
      <top style="thin">
        <color theme="0" tint="-4.9989318521683403E-2"/>
      </top>
      <bottom/>
      <diagonal/>
    </border>
    <border>
      <left style="thin">
        <color theme="0"/>
      </left>
      <right style="thin">
        <color theme="0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79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169" fontId="1" fillId="0" borderId="0" applyFont="0" applyFill="0" applyBorder="0" applyAlignment="0" applyProtection="0"/>
    <xf numFmtId="172" fontId="16" fillId="0" borderId="0" applyFont="0" applyFill="0" applyBorder="0" applyAlignment="0" applyProtection="0"/>
    <xf numFmtId="0" fontId="1" fillId="0" borderId="0"/>
    <xf numFmtId="173" fontId="1" fillId="0" borderId="0" applyFont="0" applyFill="0" applyBorder="0" applyAlignment="0" applyProtection="0"/>
    <xf numFmtId="0" fontId="16" fillId="0" borderId="0"/>
    <xf numFmtId="0" fontId="9" fillId="0" borderId="0"/>
    <xf numFmtId="0" fontId="19" fillId="0" borderId="0"/>
    <xf numFmtId="0" fontId="1" fillId="0" borderId="0"/>
    <xf numFmtId="174" fontId="1" fillId="0" borderId="0" applyFont="0" applyFill="0" applyBorder="0" applyAlignment="0" applyProtection="0"/>
    <xf numFmtId="172" fontId="16" fillId="0" borderId="0" applyFont="0" applyFill="0" applyBorder="0" applyAlignment="0" applyProtection="0"/>
    <xf numFmtId="0" fontId="16" fillId="0" borderId="0"/>
    <xf numFmtId="9" fontId="16" fillId="0" borderId="0" applyFont="0" applyFill="0" applyBorder="0" applyAlignment="0" applyProtection="0"/>
    <xf numFmtId="0" fontId="1" fillId="0" borderId="0"/>
    <xf numFmtId="174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" fillId="0" borderId="0"/>
    <xf numFmtId="0" fontId="16" fillId="0" borderId="0"/>
    <xf numFmtId="0" fontId="19" fillId="0" borderId="0"/>
    <xf numFmtId="9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0"/>
    <xf numFmtId="0" fontId="1" fillId="0" borderId="0"/>
    <xf numFmtId="0" fontId="1" fillId="0" borderId="0"/>
    <xf numFmtId="164" fontId="9" fillId="0" borderId="0" applyFont="0" applyFill="0" applyBorder="0" applyAlignment="0" applyProtection="0"/>
    <xf numFmtId="169" fontId="16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30" fillId="0" borderId="0"/>
    <xf numFmtId="0" fontId="2" fillId="0" borderId="0"/>
    <xf numFmtId="0" fontId="9" fillId="0" borderId="0"/>
    <xf numFmtId="0" fontId="2" fillId="0" borderId="0"/>
    <xf numFmtId="0" fontId="1" fillId="0" borderId="0"/>
    <xf numFmtId="0" fontId="9" fillId="0" borderId="0"/>
    <xf numFmtId="0" fontId="1" fillId="0" borderId="0"/>
    <xf numFmtId="0" fontId="2" fillId="0" borderId="0"/>
    <xf numFmtId="9" fontId="9" fillId="0" borderId="0" applyFont="0" applyFill="0" applyBorder="0" applyAlignment="0" applyProtection="0"/>
    <xf numFmtId="0" fontId="1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1" fillId="0" borderId="0"/>
    <xf numFmtId="0" fontId="9" fillId="0" borderId="0"/>
    <xf numFmtId="0" fontId="31" fillId="0" borderId="0"/>
    <xf numFmtId="0" fontId="1" fillId="0" borderId="0"/>
    <xf numFmtId="0" fontId="20" fillId="0" borderId="0"/>
    <xf numFmtId="0" fontId="20" fillId="0" borderId="0"/>
    <xf numFmtId="0" fontId="2" fillId="0" borderId="0"/>
    <xf numFmtId="0" fontId="32" fillId="0" borderId="0"/>
    <xf numFmtId="0" fontId="9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172" fontId="1" fillId="0" borderId="0" applyFont="0" applyFill="0" applyBorder="0" applyAlignment="0" applyProtection="0"/>
    <xf numFmtId="172" fontId="32" fillId="0" borderId="0" applyFont="0" applyFill="0" applyBorder="0" applyAlignment="0" applyProtection="0"/>
    <xf numFmtId="0" fontId="32" fillId="0" borderId="0"/>
    <xf numFmtId="0" fontId="1" fillId="0" borderId="0"/>
    <xf numFmtId="0" fontId="2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0" fillId="0" borderId="0"/>
    <xf numFmtId="0" fontId="32" fillId="0" borderId="0"/>
    <xf numFmtId="0" fontId="32" fillId="0" borderId="0"/>
    <xf numFmtId="0" fontId="33" fillId="0" borderId="0"/>
    <xf numFmtId="0" fontId="2" fillId="0" borderId="0"/>
    <xf numFmtId="0" fontId="2" fillId="0" borderId="0"/>
    <xf numFmtId="0" fontId="20" fillId="0" borderId="0"/>
    <xf numFmtId="0" fontId="2" fillId="0" borderId="0"/>
    <xf numFmtId="9" fontId="9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30" fillId="0" borderId="0"/>
    <xf numFmtId="0" fontId="1" fillId="0" borderId="0"/>
    <xf numFmtId="172" fontId="32" fillId="0" borderId="0" applyFont="0" applyFill="0" applyBorder="0" applyAlignment="0" applyProtection="0"/>
    <xf numFmtId="0" fontId="2" fillId="0" borderId="0"/>
    <xf numFmtId="0" fontId="20" fillId="0" borderId="0"/>
    <xf numFmtId="0" fontId="16" fillId="0" borderId="0"/>
    <xf numFmtId="0" fontId="34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9" fillId="0" borderId="0"/>
    <xf numFmtId="0" fontId="33" fillId="0" borderId="0"/>
    <xf numFmtId="0" fontId="2" fillId="0" borderId="0"/>
    <xf numFmtId="0" fontId="20" fillId="0" borderId="0"/>
    <xf numFmtId="0" fontId="2" fillId="0" borderId="0"/>
    <xf numFmtId="0" fontId="9" fillId="0" borderId="0"/>
    <xf numFmtId="0" fontId="30" fillId="0" borderId="0"/>
    <xf numFmtId="0" fontId="30" fillId="0" borderId="0"/>
    <xf numFmtId="0" fontId="9" fillId="0" borderId="0"/>
    <xf numFmtId="0" fontId="33" fillId="0" borderId="0"/>
    <xf numFmtId="0" fontId="2" fillId="0" borderId="0"/>
    <xf numFmtId="0" fontId="34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2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0"/>
    <xf numFmtId="0" fontId="35" fillId="0" borderId="0"/>
    <xf numFmtId="0" fontId="36" fillId="0" borderId="0" applyNumberFormat="0" applyFill="0" applyBorder="0" applyAlignment="0" applyProtection="0"/>
    <xf numFmtId="0" fontId="37" fillId="0" borderId="0"/>
    <xf numFmtId="164" fontId="2" fillId="0" borderId="0" applyFont="0" applyFill="0" applyBorder="0" applyAlignment="0" applyProtection="0"/>
    <xf numFmtId="0" fontId="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38" fillId="0" borderId="0" applyNumberFormat="0" applyFill="0" applyBorder="0" applyAlignment="0" applyProtection="0"/>
    <xf numFmtId="164" fontId="30" fillId="0" borderId="0" applyFont="0" applyFill="0" applyBorder="0" applyAlignment="0" applyProtection="0"/>
    <xf numFmtId="0" fontId="9" fillId="0" borderId="0"/>
    <xf numFmtId="164" fontId="41" fillId="0" borderId="0" applyFont="0" applyFill="0" applyBorder="0" applyAlignment="0" applyProtection="0"/>
    <xf numFmtId="0" fontId="9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172" fontId="20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2" fillId="0" borderId="0"/>
    <xf numFmtId="0" fontId="20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172" fontId="51" fillId="0" borderId="0" applyFont="0" applyFill="0" applyBorder="0" applyAlignment="0" applyProtection="0"/>
    <xf numFmtId="172" fontId="31" fillId="0" borderId="0" applyFont="0" applyFill="0" applyBorder="0" applyAlignment="0" applyProtection="0"/>
    <xf numFmtId="0" fontId="30" fillId="0" borderId="0"/>
  </cellStyleXfs>
  <cellXfs count="134">
    <xf numFmtId="0" fontId="0" fillId="0" borderId="0" xfId="0"/>
    <xf numFmtId="0" fontId="3" fillId="0" borderId="0" xfId="3" applyFont="1" applyAlignment="1">
      <alignment horizontal="center"/>
    </xf>
    <xf numFmtId="0" fontId="4" fillId="2" borderId="8" xfId="0" applyFont="1" applyFill="1" applyBorder="1" applyAlignment="1">
      <alignment horizontal="center" vertical="center" wrapText="1"/>
    </xf>
    <xf numFmtId="0" fontId="5" fillId="0" borderId="0" xfId="0" applyFont="1"/>
    <xf numFmtId="0" fontId="6" fillId="3" borderId="10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165" fontId="4" fillId="4" borderId="8" xfId="0" applyNumberFormat="1" applyFont="1" applyFill="1" applyBorder="1" applyAlignment="1">
      <alignment horizontal="center" vertical="center" wrapText="1"/>
    </xf>
    <xf numFmtId="166" fontId="4" fillId="4" borderId="8" xfId="4" applyNumberFormat="1" applyFont="1" applyFill="1" applyBorder="1" applyAlignment="1">
      <alignment horizontal="center" vertical="center" wrapText="1"/>
    </xf>
    <xf numFmtId="166" fontId="4" fillId="4" borderId="8" xfId="4" applyNumberFormat="1" applyFont="1" applyFill="1" applyBorder="1" applyAlignment="1">
      <alignment vertical="center" wrapText="1"/>
    </xf>
    <xf numFmtId="166" fontId="7" fillId="4" borderId="8" xfId="4" applyNumberFormat="1" applyFont="1" applyFill="1" applyBorder="1" applyAlignment="1">
      <alignment horizontal="center" vertical="center" wrapText="1"/>
    </xf>
    <xf numFmtId="166" fontId="7" fillId="4" borderId="12" xfId="4" applyNumberFormat="1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 applyProtection="1">
      <alignment vertical="center" wrapText="1"/>
      <protection locked="0"/>
    </xf>
    <xf numFmtId="0" fontId="5" fillId="0" borderId="10" xfId="0" applyFont="1" applyBorder="1" applyAlignment="1" applyProtection="1">
      <alignment horizontal="center" vertical="center" wrapText="1"/>
      <protection locked="0"/>
    </xf>
    <xf numFmtId="2" fontId="5" fillId="0" borderId="10" xfId="0" applyNumberFormat="1" applyFont="1" applyBorder="1" applyAlignment="1">
      <alignment horizontal="center" vertical="center"/>
    </xf>
    <xf numFmtId="43" fontId="5" fillId="0" borderId="10" xfId="4" applyFont="1" applyBorder="1"/>
    <xf numFmtId="43" fontId="5" fillId="0" borderId="10" xfId="4" applyFont="1" applyFill="1" applyBorder="1"/>
    <xf numFmtId="9" fontId="5" fillId="0" borderId="10" xfId="2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9" fontId="12" fillId="0" borderId="10" xfId="2" applyFont="1" applyBorder="1" applyAlignment="1">
      <alignment horizontal="center" vertical="center"/>
    </xf>
    <xf numFmtId="171" fontId="5" fillId="0" borderId="10" xfId="1" applyNumberFormat="1" applyFont="1" applyBorder="1" applyAlignment="1">
      <alignment horizontal="center" vertical="center"/>
    </xf>
    <xf numFmtId="171" fontId="12" fillId="0" borderId="10" xfId="1" applyNumberFormat="1" applyFont="1" applyBorder="1" applyAlignment="1">
      <alignment horizontal="center" vertical="center"/>
    </xf>
    <xf numFmtId="0" fontId="13" fillId="4" borderId="13" xfId="5" applyFont="1" applyFill="1" applyBorder="1" applyAlignment="1">
      <alignment horizontal="left" vertical="center"/>
    </xf>
    <xf numFmtId="0" fontId="6" fillId="0" borderId="0" xfId="0" applyFont="1" applyAlignment="1">
      <alignment vertical="center" wrapText="1"/>
    </xf>
    <xf numFmtId="0" fontId="15" fillId="0" borderId="0" xfId="0" applyFont="1"/>
    <xf numFmtId="0" fontId="5" fillId="3" borderId="0" xfId="0" applyFont="1" applyFill="1"/>
    <xf numFmtId="0" fontId="11" fillId="0" borderId="0" xfId="0" applyFont="1" applyAlignment="1">
      <alignment vertical="center" wrapText="1"/>
    </xf>
    <xf numFmtId="0" fontId="13" fillId="4" borderId="14" xfId="5" applyFont="1" applyFill="1" applyBorder="1" applyAlignment="1">
      <alignment horizontal="center" vertical="center" wrapText="1"/>
    </xf>
    <xf numFmtId="0" fontId="13" fillId="4" borderId="14" xfId="5" applyFont="1" applyFill="1" applyBorder="1" applyAlignment="1">
      <alignment horizontal="left" vertical="center" wrapText="1"/>
    </xf>
    <xf numFmtId="167" fontId="13" fillId="4" borderId="14" xfId="1" applyNumberFormat="1" applyFont="1" applyFill="1" applyBorder="1" applyAlignment="1">
      <alignment horizontal="center" vertical="center" wrapText="1"/>
    </xf>
    <xf numFmtId="164" fontId="13" fillId="4" borderId="14" xfId="1" applyFont="1" applyFill="1" applyBorder="1" applyAlignment="1">
      <alignment horizontal="center" vertical="center" wrapText="1"/>
    </xf>
    <xf numFmtId="166" fontId="13" fillId="2" borderId="15" xfId="6" applyNumberFormat="1" applyFont="1" applyFill="1" applyBorder="1" applyAlignment="1">
      <alignment vertical="center" wrapText="1"/>
    </xf>
    <xf numFmtId="166" fontId="13" fillId="2" borderId="15" xfId="6" applyNumberFormat="1" applyFont="1" applyFill="1" applyBorder="1" applyAlignment="1">
      <alignment horizontal="center" vertical="center" wrapText="1"/>
    </xf>
    <xf numFmtId="170" fontId="13" fillId="2" borderId="15" xfId="6" applyNumberFormat="1" applyFont="1" applyFill="1" applyBorder="1" applyAlignment="1">
      <alignment vertical="center" wrapText="1"/>
    </xf>
    <xf numFmtId="166" fontId="13" fillId="2" borderId="16" xfId="6" applyNumberFormat="1" applyFont="1" applyFill="1" applyBorder="1" applyAlignment="1">
      <alignment vertical="center" wrapText="1"/>
    </xf>
    <xf numFmtId="166" fontId="13" fillId="2" borderId="16" xfId="6" applyNumberFormat="1" applyFont="1" applyFill="1" applyBorder="1" applyAlignment="1">
      <alignment horizontal="center" vertical="center" wrapText="1"/>
    </xf>
    <xf numFmtId="169" fontId="13" fillId="2" borderId="16" xfId="7" applyFont="1" applyFill="1" applyBorder="1" applyAlignment="1">
      <alignment vertical="center" wrapText="1"/>
    </xf>
    <xf numFmtId="168" fontId="13" fillId="2" borderId="16" xfId="6" applyNumberFormat="1" applyFont="1" applyFill="1" applyBorder="1" applyAlignment="1">
      <alignment vertical="center" wrapText="1"/>
    </xf>
    <xf numFmtId="171" fontId="13" fillId="2" borderId="16" xfId="1" applyNumberFormat="1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6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/>
    </xf>
    <xf numFmtId="164" fontId="5" fillId="0" borderId="0" xfId="0" applyNumberFormat="1" applyFont="1" applyAlignment="1">
      <alignment horizontal="left"/>
    </xf>
    <xf numFmtId="0" fontId="5" fillId="3" borderId="0" xfId="0" applyFont="1" applyFill="1" applyAlignment="1">
      <alignment horizontal="left"/>
    </xf>
    <xf numFmtId="0" fontId="11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166" fontId="21" fillId="2" borderId="16" xfId="6" applyNumberFormat="1" applyFont="1" applyFill="1" applyBorder="1" applyAlignment="1">
      <alignment horizontal="center" vertical="center" wrapText="1"/>
    </xf>
    <xf numFmtId="0" fontId="21" fillId="4" borderId="13" xfId="5" applyFont="1" applyFill="1" applyBorder="1" applyAlignment="1">
      <alignment horizontal="left" vertical="center"/>
    </xf>
    <xf numFmtId="175" fontId="22" fillId="0" borderId="10" xfId="4" applyNumberFormat="1" applyFont="1" applyBorder="1"/>
    <xf numFmtId="175" fontId="21" fillId="2" borderId="16" xfId="6" applyNumberFormat="1" applyFont="1" applyFill="1" applyBorder="1" applyAlignment="1">
      <alignment horizontal="center" vertical="center" wrapText="1"/>
    </xf>
    <xf numFmtId="176" fontId="22" fillId="0" borderId="10" xfId="4" applyNumberFormat="1" applyFont="1" applyBorder="1"/>
    <xf numFmtId="176" fontId="21" fillId="2" borderId="16" xfId="6" applyNumberFormat="1" applyFont="1" applyFill="1" applyBorder="1" applyAlignment="1">
      <alignment horizontal="center" vertical="center" wrapText="1"/>
    </xf>
    <xf numFmtId="0" fontId="23" fillId="0" borderId="0" xfId="0" applyFont="1"/>
    <xf numFmtId="0" fontId="11" fillId="0" borderId="0" xfId="0" applyFont="1" applyAlignment="1">
      <alignment horizontal="left" vertical="center"/>
    </xf>
    <xf numFmtId="0" fontId="24" fillId="0" borderId="0" xfId="0" applyFont="1"/>
    <xf numFmtId="0" fontId="25" fillId="0" borderId="0" xfId="0" applyFont="1"/>
    <xf numFmtId="0" fontId="26" fillId="0" borderId="0" xfId="0" applyFont="1" applyAlignment="1">
      <alignment horizontal="left"/>
    </xf>
    <xf numFmtId="164" fontId="6" fillId="0" borderId="0" xfId="0" applyNumberFormat="1" applyFont="1" applyAlignment="1">
      <alignment horizontal="left" vertical="center" wrapText="1"/>
    </xf>
    <xf numFmtId="0" fontId="27" fillId="3" borderId="0" xfId="0" applyFont="1" applyFill="1" applyAlignment="1">
      <alignment horizontal="center" vertical="center"/>
    </xf>
    <xf numFmtId="0" fontId="27" fillId="3" borderId="16" xfId="0" applyFont="1" applyFill="1" applyBorder="1" applyAlignment="1">
      <alignment horizontal="center" vertical="center"/>
    </xf>
    <xf numFmtId="177" fontId="5" fillId="0" borderId="10" xfId="4" applyNumberFormat="1" applyFont="1" applyBorder="1"/>
    <xf numFmtId="0" fontId="13" fillId="4" borderId="13" xfId="5" applyFont="1" applyFill="1" applyBorder="1" applyAlignment="1">
      <alignment horizontal="left" vertical="center" wrapText="1"/>
    </xf>
    <xf numFmtId="43" fontId="5" fillId="0" borderId="10" xfId="4" applyFont="1" applyBorder="1" applyAlignment="1"/>
    <xf numFmtId="0" fontId="27" fillId="0" borderId="0" xfId="40" applyFont="1" applyAlignment="1">
      <alignment horizontal="center" vertical="center"/>
    </xf>
    <xf numFmtId="0" fontId="27" fillId="0" borderId="0" xfId="38" applyFont="1" applyAlignment="1">
      <alignment horizontal="center" vertical="center"/>
    </xf>
    <xf numFmtId="0" fontId="27" fillId="0" borderId="17" xfId="38" applyFont="1" applyBorder="1" applyAlignment="1">
      <alignment horizontal="center" vertical="center"/>
    </xf>
    <xf numFmtId="2" fontId="43" fillId="0" borderId="0" xfId="0" applyNumberFormat="1" applyFont="1" applyAlignment="1">
      <alignment horizontal="center" vertical="center" wrapText="1"/>
    </xf>
    <xf numFmtId="0" fontId="44" fillId="0" borderId="0" xfId="0" applyFont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43" fontId="5" fillId="0" borderId="10" xfId="4" applyFont="1" applyBorder="1" applyAlignment="1">
      <alignment horizontal="center"/>
    </xf>
    <xf numFmtId="0" fontId="48" fillId="0" borderId="0" xfId="0" applyFont="1" applyAlignment="1">
      <alignment vertical="center" wrapText="1"/>
    </xf>
    <xf numFmtId="0" fontId="48" fillId="0" borderId="0" xfId="0" applyFont="1" applyAlignment="1">
      <alignment vertical="center"/>
    </xf>
    <xf numFmtId="164" fontId="48" fillId="0" borderId="0" xfId="0" applyNumberFormat="1" applyFont="1" applyAlignment="1">
      <alignment vertical="center"/>
    </xf>
    <xf numFmtId="0" fontId="5" fillId="0" borderId="18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 wrapText="1"/>
    </xf>
    <xf numFmtId="164" fontId="52" fillId="0" borderId="0" xfId="1" applyFont="1" applyFill="1" applyAlignment="1">
      <alignment horizontal="center" vertical="center" wrapText="1"/>
    </xf>
    <xf numFmtId="0" fontId="53" fillId="0" borderId="0" xfId="0" applyFont="1" applyAlignment="1">
      <alignment wrapText="1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 applyProtection="1">
      <alignment vertical="center" wrapText="1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2" fontId="3" fillId="0" borderId="10" xfId="0" applyNumberFormat="1" applyFont="1" applyBorder="1" applyAlignment="1">
      <alignment horizontal="center" vertical="center"/>
    </xf>
    <xf numFmtId="43" fontId="3" fillId="0" borderId="10" xfId="4" applyFont="1" applyBorder="1"/>
    <xf numFmtId="0" fontId="54" fillId="0" borderId="0" xfId="0" applyFont="1" applyAlignment="1">
      <alignment wrapText="1"/>
    </xf>
    <xf numFmtId="172" fontId="52" fillId="0" borderId="0" xfId="8" applyFont="1" applyFill="1" applyAlignment="1">
      <alignment horizontal="center" vertical="center" wrapText="1"/>
    </xf>
    <xf numFmtId="164" fontId="55" fillId="0" borderId="0" xfId="1" applyFont="1" applyFill="1" applyAlignment="1">
      <alignment horizontal="center" vertical="center" wrapText="1"/>
    </xf>
    <xf numFmtId="0" fontId="56" fillId="0" borderId="0" xfId="0" applyFont="1" applyAlignment="1">
      <alignment wrapText="1"/>
    </xf>
    <xf numFmtId="0" fontId="56" fillId="0" borderId="0" xfId="0" applyFont="1" applyAlignment="1">
      <alignment horizontal="center" wrapText="1"/>
    </xf>
    <xf numFmtId="0" fontId="13" fillId="4" borderId="13" xfId="5" applyFont="1" applyFill="1" applyBorder="1" applyAlignment="1">
      <alignment horizontal="center" vertical="center"/>
    </xf>
    <xf numFmtId="166" fontId="13" fillId="4" borderId="13" xfId="5" applyNumberFormat="1" applyFont="1" applyFill="1" applyBorder="1" applyAlignment="1">
      <alignment horizontal="center" vertical="center"/>
    </xf>
    <xf numFmtId="43" fontId="3" fillId="0" borderId="10" xfId="4" applyFont="1" applyFill="1" applyBorder="1"/>
    <xf numFmtId="165" fontId="6" fillId="0" borderId="0" xfId="0" applyNumberFormat="1" applyFont="1" applyAlignment="1">
      <alignment vertical="center" wrapText="1"/>
    </xf>
    <xf numFmtId="164" fontId="5" fillId="0" borderId="0" xfId="0" applyNumberFormat="1" applyFont="1"/>
    <xf numFmtId="0" fontId="13" fillId="4" borderId="13" xfId="5" applyFont="1" applyFill="1" applyBorder="1" applyAlignment="1">
      <alignment horizontal="center" vertical="center" wrapText="1"/>
    </xf>
    <xf numFmtId="167" fontId="13" fillId="4" borderId="13" xfId="1" applyNumberFormat="1" applyFont="1" applyFill="1" applyBorder="1" applyAlignment="1">
      <alignment horizontal="center" vertical="center" wrapText="1"/>
    </xf>
    <xf numFmtId="164" fontId="13" fillId="4" borderId="13" xfId="1" applyFont="1" applyFill="1" applyBorder="1" applyAlignment="1">
      <alignment horizontal="center" vertical="center" wrapText="1"/>
    </xf>
    <xf numFmtId="0" fontId="14" fillId="0" borderId="0" xfId="0" applyFont="1"/>
    <xf numFmtId="0" fontId="12" fillId="0" borderId="0" xfId="0" applyFont="1"/>
    <xf numFmtId="0" fontId="57" fillId="0" borderId="10" xfId="0" applyFont="1" applyBorder="1"/>
    <xf numFmtId="0" fontId="5" fillId="0" borderId="10" xfId="0" applyFont="1" applyBorder="1" applyAlignment="1">
      <alignment horizontal="left"/>
    </xf>
    <xf numFmtId="0" fontId="5" fillId="0" borderId="10" xfId="0" applyFont="1" applyBorder="1" applyAlignment="1">
      <alignment horizontal="center"/>
    </xf>
    <xf numFmtId="164" fontId="5" fillId="0" borderId="10" xfId="1" applyFont="1" applyBorder="1" applyAlignment="1">
      <alignment horizontal="center"/>
    </xf>
    <xf numFmtId="164" fontId="5" fillId="0" borderId="10" xfId="1" applyFont="1" applyBorder="1"/>
    <xf numFmtId="164" fontId="5" fillId="0" borderId="10" xfId="1" applyFont="1" applyFill="1" applyBorder="1"/>
    <xf numFmtId="2" fontId="5" fillId="0" borderId="10" xfId="0" applyNumberFormat="1" applyFont="1" applyBorder="1"/>
    <xf numFmtId="164" fontId="5" fillId="0" borderId="10" xfId="1" applyFont="1" applyBorder="1" applyAlignment="1">
      <alignment horizontal="left"/>
    </xf>
    <xf numFmtId="167" fontId="5" fillId="0" borderId="0" xfId="1" applyNumberFormat="1" applyFont="1"/>
    <xf numFmtId="165" fontId="5" fillId="0" borderId="10" xfId="0" applyNumberFormat="1" applyFont="1" applyBorder="1" applyAlignment="1">
      <alignment horizontal="center" vertical="center"/>
    </xf>
    <xf numFmtId="2" fontId="4" fillId="4" borderId="8" xfId="0" applyNumberFormat="1" applyFont="1" applyFill="1" applyBorder="1" applyAlignment="1">
      <alignment horizontal="center" vertical="center" wrapText="1"/>
    </xf>
    <xf numFmtId="43" fontId="26" fillId="0" borderId="0" xfId="0" applyNumberFormat="1" applyFont="1" applyAlignment="1">
      <alignment horizontal="left"/>
    </xf>
    <xf numFmtId="43" fontId="5" fillId="0" borderId="0" xfId="0" applyNumberFormat="1" applyFont="1"/>
    <xf numFmtId="43" fontId="6" fillId="0" borderId="0" xfId="0" applyNumberFormat="1" applyFont="1" applyAlignment="1">
      <alignment vertical="center" wrapText="1"/>
    </xf>
    <xf numFmtId="43" fontId="27" fillId="0" borderId="0" xfId="38" applyNumberFormat="1" applyFont="1" applyAlignment="1">
      <alignment horizontal="center" vertical="center"/>
    </xf>
    <xf numFmtId="175" fontId="0" fillId="0" borderId="0" xfId="0" applyNumberFormat="1"/>
    <xf numFmtId="43" fontId="11" fillId="0" borderId="0" xfId="0" applyNumberFormat="1" applyFont="1" applyAlignment="1">
      <alignment vertical="center" wrapText="1"/>
    </xf>
    <xf numFmtId="43" fontId="53" fillId="0" borderId="0" xfId="0" applyNumberFormat="1" applyFont="1" applyAlignment="1">
      <alignment wrapText="1"/>
    </xf>
    <xf numFmtId="164" fontId="15" fillId="0" borderId="0" xfId="0" applyNumberFormat="1" applyFont="1"/>
    <xf numFmtId="165" fontId="58" fillId="4" borderId="8" xfId="0" applyNumberFormat="1" applyFont="1" applyFill="1" applyBorder="1" applyAlignment="1">
      <alignment horizontal="center" vertical="center" wrapText="1"/>
    </xf>
    <xf numFmtId="165" fontId="15" fillId="0" borderId="0" xfId="0" applyNumberFormat="1" applyFont="1"/>
    <xf numFmtId="0" fontId="6" fillId="0" borderId="0" xfId="0" applyFont="1"/>
    <xf numFmtId="166" fontId="59" fillId="2" borderId="16" xfId="6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</cellXfs>
  <cellStyles count="179">
    <cellStyle name="Comma" xfId="1" builtinId="3"/>
    <cellStyle name="Comma [0] 2" xfId="127" xr:uid="{A6A37246-1144-41B8-960A-251D768D4BE3}"/>
    <cellStyle name="Comma 15" xfId="150" xr:uid="{0FC93A39-73E5-4484-AFEF-AFA29E43EC66}"/>
    <cellStyle name="Comma 15 2" xfId="152" xr:uid="{3C0F849F-AA7C-403C-A964-A23D9457C63F}"/>
    <cellStyle name="Comma 17" xfId="35" xr:uid="{CE845A04-F3EB-4D4D-8D72-AD0DAF0396D5}"/>
    <cellStyle name="Comma 17 2" xfId="99" xr:uid="{4EBBE995-89B2-46C0-B8B0-5953148FA3CE}"/>
    <cellStyle name="Comma 17 3" xfId="78" xr:uid="{7AE8F032-216C-4888-A7E4-54ADACEED8B0}"/>
    <cellStyle name="Comma 18" xfId="77" xr:uid="{A007C563-9847-493A-A2E7-876E3B4488CD}"/>
    <cellStyle name="Comma 18 3" xfId="96" xr:uid="{BB786A60-BE85-4DC0-A0C2-56AB9DBA3253}"/>
    <cellStyle name="Comma 2" xfId="4" xr:uid="{319CB874-25EF-4B3C-B590-338D12C6EE65}"/>
    <cellStyle name="Comma 2 2" xfId="30" xr:uid="{1C2B8559-7F55-4D77-BD3F-1F1E0E5EE185}"/>
    <cellStyle name="Comma 2 6 3" xfId="10" xr:uid="{093CF1B8-082E-4436-A28C-F1354650E445}"/>
    <cellStyle name="Comma 22" xfId="8" xr:uid="{1C701BEC-085A-4012-948A-EAC2D362A179}"/>
    <cellStyle name="Comma 3" xfId="161" xr:uid="{51B175D3-8E93-4769-8170-55DEA2A2910C}"/>
    <cellStyle name="Comma 4" xfId="172" xr:uid="{090FCD6D-197C-4E7F-9228-63E1162875A8}"/>
    <cellStyle name="Comma 5" xfId="6" xr:uid="{C53E02CD-FB1E-4EAB-B600-A149BC9E7AD3}"/>
    <cellStyle name="Comma 5 2" xfId="27" xr:uid="{53759886-F2E0-41F4-8001-64A835E1F663}"/>
    <cellStyle name="Comma 6 2" xfId="176" xr:uid="{6849EB84-ADDC-4581-8F23-60F307876F65}"/>
    <cellStyle name="Comma 7" xfId="177" xr:uid="{8A52F758-EF6D-41A4-B08F-731DBF249B12}"/>
    <cellStyle name="Currency 2" xfId="7" xr:uid="{6BB0739D-1921-4D32-9133-7E24040AD485}"/>
    <cellStyle name="Currency 3" xfId="36" xr:uid="{5BAA76C8-A24F-4316-9354-910186A21AE7}"/>
    <cellStyle name="Hyperlink 2" xfId="131" xr:uid="{D1FCD4A6-EF90-4CE4-97C8-6B708E7DC0A9}"/>
    <cellStyle name="Hyperlink 3" xfId="149" xr:uid="{13452952-1B9E-462B-B0DC-F73398B78710}"/>
    <cellStyle name="Hyperlink 4" xfId="173" xr:uid="{DB9782C2-BEE2-4B2B-BB1C-A312FB94455D}"/>
    <cellStyle name="Normal" xfId="0" builtinId="0"/>
    <cellStyle name="Normal 10" xfId="45" xr:uid="{1D1B6770-0198-498B-9326-5502C8625BFE}"/>
    <cellStyle name="Normal 10 2" xfId="151" xr:uid="{89DAEA25-A5B7-4D76-BCD9-F818F0D3F7C4}"/>
    <cellStyle name="Normal 10 3" xfId="175" xr:uid="{E4F03FC7-2E3F-4907-BB8C-A521E1F6B995}"/>
    <cellStyle name="Normal 11" xfId="155" xr:uid="{3356B83E-9FEF-40E2-81EC-366B25A67F80}"/>
    <cellStyle name="Normal 11 2" xfId="38" xr:uid="{5A12993E-7F7A-479E-9CEA-D35DDA26510D}"/>
    <cellStyle name="Normal 11 2 2" xfId="55" xr:uid="{59274AE6-9960-4A78-A1BB-CF465A13F0DE}"/>
    <cellStyle name="Normal 11 3" xfId="129" xr:uid="{75DD7228-622C-42E7-BF85-4104AFE68F9F}"/>
    <cellStyle name="Normal 12" xfId="156" xr:uid="{B9D16065-3237-4F8B-85E6-79ADC8EC146D}"/>
    <cellStyle name="Normal 12 2" xfId="64" xr:uid="{F11524F4-8229-44AA-94CB-0BB709FE9FFE}"/>
    <cellStyle name="Normal 13" xfId="141" xr:uid="{8A923FBC-DF8F-4FEA-96FF-C185DBF1A294}"/>
    <cellStyle name="Normal 13 2" xfId="67" xr:uid="{FF638503-77D8-4917-A99C-6CF7024C3E8A}"/>
    <cellStyle name="Normal 13 2 2 2" xfId="88" xr:uid="{9A9B592A-9286-4E80-AB87-80F1D517C8DB}"/>
    <cellStyle name="Normal 13 2 3 2" xfId="79" xr:uid="{26456D6E-5B19-43CC-BBD1-455685C8AB28}"/>
    <cellStyle name="Normal 13 2 4" xfId="86" xr:uid="{FE06EA19-58A8-4F6D-A13E-DB9D14D8A44F}"/>
    <cellStyle name="Normal 13 3" xfId="163" xr:uid="{4C081E3F-4F1F-46CB-A8CB-3531963EB806}"/>
    <cellStyle name="Normal 13 3 2 2" xfId="89" xr:uid="{E615E741-604B-461E-96D6-D610CB09B380}"/>
    <cellStyle name="Normal 13 3 3" xfId="44" xr:uid="{8D0222DE-ED3E-4A67-BC6E-2397C5B8E11B}"/>
    <cellStyle name="Normal 13 3 3 2" xfId="69" xr:uid="{EA234B40-3F27-4771-9A14-E2E0164C72D2}"/>
    <cellStyle name="Normal 13 3 3 2 2" xfId="122" xr:uid="{087B04C0-88D7-4B40-B4A6-AFD7093A7A53}"/>
    <cellStyle name="Normal 13 3 3 2 3" xfId="143" xr:uid="{4BB2FC91-96BB-4DB6-A072-430689150699}"/>
    <cellStyle name="Normal 13 3 3 3" xfId="144" xr:uid="{94F95C6D-9D06-41FA-9719-BC5D8879FD87}"/>
    <cellStyle name="Normal 13 3 3 4" xfId="147" xr:uid="{85264CF1-9709-4DCD-B19B-FC853FB25F25}"/>
    <cellStyle name="Normal 13 3 3 5" xfId="138" xr:uid="{FA0A81EF-9E61-45BC-AC1C-ABCAF7D1526E}"/>
    <cellStyle name="Normal 13 3 3 6" xfId="83" xr:uid="{6A9147AA-117E-4D4F-8D30-44DCD0129FC1}"/>
    <cellStyle name="Normal 13 3 3 7" xfId="154" xr:uid="{59E3E0B2-B1FB-4A97-8D21-48A4520EFA5E}"/>
    <cellStyle name="Normal 13 3 4" xfId="137" xr:uid="{0FEA4735-DD8D-4993-A55B-59427E167E79}"/>
    <cellStyle name="Normal 13 3 5" xfId="105" xr:uid="{47A1E443-5B8B-4E44-B062-4A04DB3E532F}"/>
    <cellStyle name="Normal 13 4" xfId="65" xr:uid="{57924D59-7F6E-42CC-A803-82E345766CE0}"/>
    <cellStyle name="Normal 13 5 3 2" xfId="63" xr:uid="{F9A2DF14-B90F-433F-8304-F47D8650FFDE}"/>
    <cellStyle name="Normal 13 5 3 2 2" xfId="109" xr:uid="{4C3C2AEE-2CED-45EC-9D2C-5C9348438D77}"/>
    <cellStyle name="Normal 13 5 3 2 2 2" xfId="145" xr:uid="{C187F7E5-CED8-4198-B301-F44CAEFE73CC}"/>
    <cellStyle name="Normal 13 5 3 3" xfId="80" xr:uid="{5B1BAC94-BCCA-44C7-9021-CA2D08A6814C}"/>
    <cellStyle name="Normal 13 5 3 3 2" xfId="84" xr:uid="{0F4B42E3-4281-472D-B1BD-E5173281A580}"/>
    <cellStyle name="Normal 13 5 3 4" xfId="85" xr:uid="{BAA18EEC-A550-461A-AC26-2E6FE9D710BB}"/>
    <cellStyle name="Normal 13 5 3 7" xfId="60" xr:uid="{424A322E-ACF4-4FC4-A425-870897CD7E45}"/>
    <cellStyle name="Normal 13 5 3 7 2" xfId="146" xr:uid="{1217C698-DD63-4EDF-B2F2-254C0E7700C3}"/>
    <cellStyle name="Normal 14" xfId="93" xr:uid="{37B11B4D-13DD-44D7-A059-A1C05E601E53}"/>
    <cellStyle name="Normal 14 3 2" xfId="66" xr:uid="{334692DB-BCF7-4136-B244-1960681A552C}"/>
    <cellStyle name="Normal 14 4" xfId="113" xr:uid="{16B27F1B-CC0C-4A66-865A-BCD92D33FC44}"/>
    <cellStyle name="Normal 14_anakia II etapi.xls sm. defeqturi" xfId="70" xr:uid="{9252425A-97D7-4A7A-8308-B9233CEA8DED}"/>
    <cellStyle name="Normal 15" xfId="158" xr:uid="{1429D756-D48A-4F85-9DF4-AFF0C2C98457}"/>
    <cellStyle name="Normal 16" xfId="159" xr:uid="{DF00C742-ADD3-430B-9B6B-D1E67030E8DE}"/>
    <cellStyle name="Normal 16 2" xfId="43" xr:uid="{3798900A-256B-484E-9892-FC05B1CE3DB7}"/>
    <cellStyle name="Normal 17" xfId="101" xr:uid="{70A8B67B-3E96-4D2A-B044-47D31638D52A}"/>
    <cellStyle name="Normal 18" xfId="160" xr:uid="{2BCBCBF9-0F8B-489C-97AB-4872CE33563D}"/>
    <cellStyle name="Normal 19" xfId="162" xr:uid="{2F3C1DAC-F6BE-433A-A852-89A403A82262}"/>
    <cellStyle name="Normal 2" xfId="28" xr:uid="{287D8597-A7DE-40DC-9891-141E667CADAB}"/>
    <cellStyle name="Normal 2 10" xfId="51" xr:uid="{1E4EE14C-373E-413A-B698-94DC6C57EDD9}"/>
    <cellStyle name="Normal 2 10 2" xfId="174" xr:uid="{C21779EE-3F63-4C60-8427-2CDBD77F00BB}"/>
    <cellStyle name="Normal 2 13" xfId="22" xr:uid="{231DA6C9-3E44-4D6B-98EF-3A029360C2D2}"/>
    <cellStyle name="Normal 2 2" xfId="32" xr:uid="{33A00C73-F5B8-4D4D-A671-632A7B549090}"/>
    <cellStyle name="Normal 2 2 2" xfId="121" xr:uid="{DD1AADF9-F507-4F44-BC7C-56132806E1B7}"/>
    <cellStyle name="Normal 2 3" xfId="126" xr:uid="{EA9B9CE7-065C-4C75-8CDF-F56609625A64}"/>
    <cellStyle name="Normal 2 4" xfId="142" xr:uid="{BB3B6FCC-DA10-4A06-8FCA-87A7E8E904BF}"/>
    <cellStyle name="Normal 2 5" xfId="157" xr:uid="{B660DB1F-0793-4351-AB2A-70F1357603BC}"/>
    <cellStyle name="Normal 2 5 2" xfId="136" xr:uid="{AA8FF0A1-C411-4450-991E-B45368579FE5}"/>
    <cellStyle name="Normal 2 6" xfId="168" xr:uid="{6F603755-A5AC-49E7-B726-5046474B8B38}"/>
    <cellStyle name="Normal 2 7" xfId="50" xr:uid="{89B8C95B-9003-4936-96DF-317330677B0E}"/>
    <cellStyle name="Normal 20" xfId="164" xr:uid="{ACE00DD7-645F-4912-B296-AC27B3463B85}"/>
    <cellStyle name="Normal 21" xfId="167" xr:uid="{3FC961C0-F11B-48C7-A969-EFD754E84356}"/>
    <cellStyle name="Normal 22" xfId="169" xr:uid="{51F8801D-4489-45FD-A6B5-DD2A457B8A88}"/>
    <cellStyle name="Normal 23" xfId="170" xr:uid="{44C7589C-1D6E-4E42-A64F-B192E20D5F0D}"/>
    <cellStyle name="Normal 24" xfId="171" xr:uid="{F173ECC4-FB82-4930-9A91-EA9453555960}"/>
    <cellStyle name="Normal 25" xfId="40" xr:uid="{220B90D4-7D41-4DF7-A48A-25CF653086EB}"/>
    <cellStyle name="Normal 26" xfId="178" xr:uid="{0A762769-AAA5-4A19-A110-2DD91D32EA0D}"/>
    <cellStyle name="Normal 27" xfId="124" xr:uid="{C2F026D4-28EA-4F6C-9D0E-595C9AB399AA}"/>
    <cellStyle name="Normal 29" xfId="53" xr:uid="{76B92513-D5A2-4B87-B44F-E8F5A7BC6100}"/>
    <cellStyle name="Normal 3" xfId="11" xr:uid="{9073B2B2-E515-4A53-8CA7-454F4E3E3E40}"/>
    <cellStyle name="Normal 3 10" xfId="134" xr:uid="{23C7DDDB-C233-4FB8-B778-5909A4A4519F}"/>
    <cellStyle name="Normal 3 2" xfId="42" xr:uid="{D19E1C59-7DA3-4AEE-AB1F-FB76A894863C}"/>
    <cellStyle name="Normal 3 3" xfId="68" xr:uid="{CC7ED311-EDFF-4A6A-B0DE-6862C315394F}"/>
    <cellStyle name="Normal 30" xfId="81" xr:uid="{633858AA-3D6E-468F-8429-7FE7AC32B2EB}"/>
    <cellStyle name="Normal 31" xfId="61" xr:uid="{4340A30B-FE17-437D-AE15-B707613F389E}"/>
    <cellStyle name="Normal 35 2" xfId="71" xr:uid="{6A52FB48-C91F-4E11-A33E-D63CD4E5EE25}"/>
    <cellStyle name="Normal 36 2 2" xfId="54" xr:uid="{7BABBB4D-2F84-450E-BB39-7646935FDEA2}"/>
    <cellStyle name="Normal 36 2 2 2 2" xfId="76" xr:uid="{7BE3BE09-3FAE-44E0-A978-3BFADCE35619}"/>
    <cellStyle name="Normal 36 2 2 2 2 2" xfId="117" xr:uid="{14C3181C-09AB-4165-A1DE-D712067A26BD}"/>
    <cellStyle name="Normal 36 2 2 3 2" xfId="87" xr:uid="{94F7D64A-9E23-4567-B192-5EF035F15172}"/>
    <cellStyle name="Normal 36 2 2 5" xfId="116" xr:uid="{7E46B7CA-3D83-4176-92D2-65A043D4EBE3}"/>
    <cellStyle name="Normal 36 2 2 6" xfId="73" xr:uid="{5641D30A-C0DC-4738-B98D-C6DB2DF4FF2B}"/>
    <cellStyle name="Normal 36 2 3" xfId="46" xr:uid="{0EDD26D1-FA6D-4896-832C-A947C75C628D}"/>
    <cellStyle name="Normal 36 2 3 2" xfId="49" xr:uid="{44B6D944-7068-4AD7-8356-44E724622272}"/>
    <cellStyle name="Normal 37" xfId="82" xr:uid="{ABDC22FF-FB9C-42C5-B36D-AB34C78DE1B0}"/>
    <cellStyle name="Normal 37 2" xfId="74" xr:uid="{2D97D2E3-EF50-43A6-AA13-A1572578ADD9}"/>
    <cellStyle name="Normal 38 2" xfId="100" xr:uid="{D604E1E1-3739-4EEF-8A8C-F33652F68BE9}"/>
    <cellStyle name="Normal 38 3" xfId="59" xr:uid="{FEAC79AB-D6D2-47C5-BED0-D6CEC7C03F8A}"/>
    <cellStyle name="Normal 4" xfId="90" xr:uid="{74B448AF-4897-40DF-BC8C-B69C74909AC6}"/>
    <cellStyle name="Normal 4 2" xfId="103" xr:uid="{30583984-756D-40E2-AEED-E2C37B6B4FCE}"/>
    <cellStyle name="Normal 4 2 2" xfId="108" xr:uid="{A1A05EB6-889F-4427-B4D7-FA8505B134CA}"/>
    <cellStyle name="Normal 4 4" xfId="112" xr:uid="{FFB2EA85-0D3D-46E3-BE31-CA81E60BCEB3}"/>
    <cellStyle name="Normal 4 5" xfId="119" xr:uid="{C6405B6E-17F9-49E7-9FA3-20AB702090FD}"/>
    <cellStyle name="Normal 4 6" xfId="107" xr:uid="{F94A56FC-BF06-4B7E-8623-8E83B1313F53}"/>
    <cellStyle name="Normal 41" xfId="140" xr:uid="{00250551-E35C-49A7-9377-00453CDD35B2}"/>
    <cellStyle name="Normal 42" xfId="110" xr:uid="{05DF4AF8-E758-4DB8-8B39-2FA00BF99A4E}"/>
    <cellStyle name="Normal 42 3" xfId="58" xr:uid="{C3E48BF7-59DE-48D9-9A73-E2F2772F0D98}"/>
    <cellStyle name="Normal 43" xfId="5" xr:uid="{5F23532C-511D-44CC-B3C0-F1DF7E75EC03}"/>
    <cellStyle name="Normal 46" xfId="165" xr:uid="{F383FBF2-E22E-4A4F-9077-E2CFA801ED5B}"/>
    <cellStyle name="Normal 47 2" xfId="52" xr:uid="{76D1A7B5-71D9-4833-B0B5-4AF64C46730A}"/>
    <cellStyle name="Normal 47 4 2" xfId="92" xr:uid="{58CA0CB9-FD99-42F6-9D8C-5C62847F84EF}"/>
    <cellStyle name="Normal 48 2" xfId="91" xr:uid="{4B304EC3-ED5F-48EC-B0FF-B435488FBBFF}"/>
    <cellStyle name="Normal 48 2 2" xfId="98" xr:uid="{27B9481B-00C9-48BC-85EF-458DB78F8C8C}"/>
    <cellStyle name="Normal 48 3 2" xfId="106" xr:uid="{75F7313F-53F9-4C54-B9F4-070C26F51C10}"/>
    <cellStyle name="Normal 5" xfId="114" xr:uid="{82E00647-6D03-4B3C-82BB-F1C9585B1F54}"/>
    <cellStyle name="Normal 5 2" xfId="118" xr:uid="{DBEFCBB6-950D-464C-A9A7-AD48BE0BEEF5}"/>
    <cellStyle name="Normal 5 2 2" xfId="125" xr:uid="{4C2A6D2F-F626-4F73-A0AF-33A6CCF080D8}"/>
    <cellStyle name="Normal 5 4 2" xfId="62" xr:uid="{DDCCBF0E-5327-4C8A-842E-B20A5CDD2A64}"/>
    <cellStyle name="Normal 51" xfId="39" xr:uid="{17D6FA6C-2881-4BA7-9230-8254DB1516D7}"/>
    <cellStyle name="Normal 52" xfId="111" xr:uid="{BB48FC03-4358-4A38-9579-1F7C08C5048D}"/>
    <cellStyle name="Normal 53 2" xfId="102" xr:uid="{F1341A4C-7BB0-43CE-83B7-BAA2DC5B6FE9}"/>
    <cellStyle name="Normal 54" xfId="132" xr:uid="{F8D5D66E-1F2C-48E8-863A-F3A396E214F4}"/>
    <cellStyle name="Normal 55" xfId="97" xr:uid="{7A7AAA24-F02E-41C7-864E-CDAF45CFEA1C}"/>
    <cellStyle name="Normal 56" xfId="94" xr:uid="{A987F7B1-7751-4172-BA22-326717BED449}"/>
    <cellStyle name="Normal 57" xfId="104" xr:uid="{6C0A4351-B608-4053-9980-7E125465478C}"/>
    <cellStyle name="Normal 57 2" xfId="139" xr:uid="{DAC39D93-6A83-4758-80FA-9DBEDDA722FD}"/>
    <cellStyle name="Normal 6" xfId="120" xr:uid="{65AD33CF-21ED-4521-A97B-4DD1DDA94BB9}"/>
    <cellStyle name="Normal 7" xfId="135" xr:uid="{3A531072-DBE5-4105-B672-9DBF0554DABB}"/>
    <cellStyle name="Normal 8" xfId="9" xr:uid="{849509A7-BEA9-4714-9D08-3710016ADBA7}"/>
    <cellStyle name="Normal 8 2" xfId="115" xr:uid="{C06AD3ED-A9F4-4BA0-8EBD-EAFD387B4E1C}"/>
    <cellStyle name="Normal 8 2 2" xfId="12" xr:uid="{4F84211A-AFC9-45F4-A70B-BB496129DB92}"/>
    <cellStyle name="Normal 8 3" xfId="148" xr:uid="{6195F741-2C2B-41C5-8C81-4C16D831B201}"/>
    <cellStyle name="Normal 9" xfId="153" xr:uid="{A57FC1D1-73CC-40A9-95F8-1C1D278BFF08}"/>
    <cellStyle name="Percent" xfId="2" builtinId="5"/>
    <cellStyle name="Percent 2" xfId="31" xr:uid="{D23425F9-8CBB-45C9-B723-14D0AC98B390}"/>
    <cellStyle name="Percent 2 2" xfId="48" xr:uid="{550F256A-B87D-4C8A-9456-31EE01B243A0}"/>
    <cellStyle name="Percent 3" xfId="21" xr:uid="{37F72D24-C062-4E53-A272-8ED5B93079B0}"/>
    <cellStyle name="Percent 3 2" xfId="128" xr:uid="{1C9F3856-378D-40DD-9913-4ED0AD411160}"/>
    <cellStyle name="Style 1" xfId="130" xr:uid="{41D1D22D-A85C-4CB2-AB80-CD3576EBC303}"/>
    <cellStyle name="Обычный 2" xfId="14" xr:uid="{637EDF01-1136-4378-83B1-BF381DE96B5F}"/>
    <cellStyle name="Обычный 2 2" xfId="19" xr:uid="{DE78F82A-469F-4CAD-8CB1-9DCDC9AE3046}"/>
    <cellStyle name="Обычный 2 2 2" xfId="47" xr:uid="{CB7A1175-9D41-4595-8C4C-B88AE0D7A790}"/>
    <cellStyle name="Обычный 2 3" xfId="23" xr:uid="{9A12D131-6475-4317-9622-FA7E5691B6C1}"/>
    <cellStyle name="Обычный 2 4" xfId="29" xr:uid="{140044A6-28B2-4AF6-843C-204329EAA1E7}"/>
    <cellStyle name="Обычный 2 5" xfId="33" xr:uid="{A866DC30-8269-437A-91D3-35514D72BB33}"/>
    <cellStyle name="Обычный 2 6" xfId="34" xr:uid="{C60D0287-A84B-4D82-BD38-770E4185471F}"/>
    <cellStyle name="Обычный 3" xfId="13" xr:uid="{99C793CC-0B50-4656-A375-E746962A83FE}"/>
    <cellStyle name="Обычный 3 2" xfId="166" xr:uid="{7CD480A7-8303-4956-A778-C3E5C77872C5}"/>
    <cellStyle name="Обычный 3 3" xfId="75" xr:uid="{ACCD78D4-2D53-4C65-8DDE-B2A3FB6A7A22}"/>
    <cellStyle name="Обычный 3 4" xfId="25" xr:uid="{552A2295-6AF1-4050-B076-2159D5228056}"/>
    <cellStyle name="Обычный 4" xfId="3" xr:uid="{7133F62D-1304-41B2-8E07-C3EA115F13A0}"/>
    <cellStyle name="Обычный 4 2" xfId="41" xr:uid="{D9B861D4-0B3F-4CC5-AD2A-4009C0CC1F88}"/>
    <cellStyle name="Обычный 4 3" xfId="56" xr:uid="{B1806AAD-3C98-4EA3-87B3-88F96C2FF9CC}"/>
    <cellStyle name="Обычный 5" xfId="17" xr:uid="{BE9FF2A9-CA9E-4892-9EA2-50B2B9253E38}"/>
    <cellStyle name="Обычный 5 2" xfId="123" xr:uid="{4883FD40-3851-49D2-8A49-0F56BEC55EBD}"/>
    <cellStyle name="Обычный 5 2 2" xfId="72" xr:uid="{A978BD73-DB3B-454F-A6CE-CCDB41417027}"/>
    <cellStyle name="Обычный 5 5 2" xfId="37" xr:uid="{238521E5-0336-4C5E-9D17-EF0C4DA6CDEA}"/>
    <cellStyle name="Обычный 5 6" xfId="24" xr:uid="{F69FBA31-896B-4EE9-9FA1-C3F106CA489F}"/>
    <cellStyle name="Обычный_ELEQ 3" xfId="57" xr:uid="{B8E1E498-E680-457C-9D2C-A9BD4F69AC6B}"/>
    <cellStyle name="Процентный 2" xfId="95" xr:uid="{3AED653A-2B0E-457D-8B96-2D8A294722D9}"/>
    <cellStyle name="Процентный 3" xfId="18" xr:uid="{7791C95F-7816-4333-8803-30275EC1B12B}"/>
    <cellStyle name="Процентный 3 3" xfId="26" xr:uid="{78841123-D6CB-4C32-91A2-5D0DE05ADCA9}"/>
    <cellStyle name="Финансовый 2" xfId="15" xr:uid="{9BF5B246-B9BB-4D4B-9EC1-47366C0605AA}"/>
    <cellStyle name="Финансовый 2 2" xfId="20" xr:uid="{F50A82ED-45E6-4957-889D-DF0CB0783D98}"/>
    <cellStyle name="Финансовый 2 3" xfId="133" xr:uid="{96C992E0-FB15-47BC-BD5D-601E20C61182}"/>
    <cellStyle name="Финансовый 6" xfId="16" xr:uid="{4A6415AD-0DFE-4E30-84A3-ECE7296766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42072-ED48-46E6-A518-A791DAD6144C}">
  <dimension ref="B2:E12"/>
  <sheetViews>
    <sheetView showGridLines="0" workbookViewId="0">
      <selection activeCell="B37" sqref="B37"/>
    </sheetView>
  </sheetViews>
  <sheetFormatPr defaultRowHeight="14.4" x14ac:dyDescent="0.3"/>
  <cols>
    <col min="2" max="2" width="49.21875" customWidth="1"/>
    <col min="3" max="4" width="32.21875" customWidth="1"/>
  </cols>
  <sheetData>
    <row r="2" spans="2:5" ht="21" x14ac:dyDescent="0.3">
      <c r="B2" s="52" t="s">
        <v>0</v>
      </c>
      <c r="C2" s="52" t="s">
        <v>1</v>
      </c>
      <c r="D2" s="52" t="s">
        <v>2</v>
      </c>
      <c r="E2" s="61">
        <v>2.61</v>
      </c>
    </row>
    <row r="3" spans="2:5" ht="21" x14ac:dyDescent="0.4">
      <c r="B3" s="53" t="s">
        <v>3</v>
      </c>
      <c r="C3" s="54">
        <f>'ვერტიკალური გეგმარება'!M196</f>
        <v>0</v>
      </c>
      <c r="D3" s="56">
        <f>C3/$E$2</f>
        <v>0</v>
      </c>
    </row>
    <row r="4" spans="2:5" ht="21" x14ac:dyDescent="0.4">
      <c r="B4" s="53" t="s">
        <v>4</v>
      </c>
      <c r="C4" s="54">
        <f>დენდროლოგია!M50</f>
        <v>0</v>
      </c>
      <c r="D4" s="56">
        <f>C4/$E$2</f>
        <v>0</v>
      </c>
    </row>
    <row r="5" spans="2:5" ht="21" x14ac:dyDescent="0.4">
      <c r="B5" s="53" t="s">
        <v>5</v>
      </c>
      <c r="C5" s="54">
        <f>'ტერიტორიის საყრდენი კედლები '!L156</f>
        <v>0</v>
      </c>
      <c r="D5" s="56">
        <f>C5/$E$2</f>
        <v>0</v>
      </c>
    </row>
    <row r="6" spans="2:5" ht="21" x14ac:dyDescent="0.3">
      <c r="B6" s="52"/>
      <c r="C6" s="55">
        <f>SUM(C3:C5)</f>
        <v>0</v>
      </c>
      <c r="D6" s="57">
        <f>SUM(D3:D5)</f>
        <v>0</v>
      </c>
    </row>
    <row r="9" spans="2:5" x14ac:dyDescent="0.3">
      <c r="B9" s="60"/>
    </row>
    <row r="12" spans="2:5" ht="15.6" x14ac:dyDescent="0.3">
      <c r="B12" s="51"/>
      <c r="C12" s="11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9C9B0-F765-455A-93B9-53D30CDCA6B8}">
  <dimension ref="A4:Y196"/>
  <sheetViews>
    <sheetView tabSelected="1" zoomScaleNormal="100" workbookViewId="0">
      <selection activeCell="C4" sqref="C4:C5"/>
    </sheetView>
  </sheetViews>
  <sheetFormatPr defaultRowHeight="14.4" x14ac:dyDescent="0.3"/>
  <cols>
    <col min="1" max="1" width="5.77734375" customWidth="1"/>
    <col min="2" max="2" width="8.21875" customWidth="1"/>
    <col min="3" max="3" width="72.44140625" customWidth="1"/>
    <col min="7" max="7" width="10.77734375" bestFit="1" customWidth="1"/>
    <col min="8" max="8" width="13" customWidth="1"/>
    <col min="10" max="10" width="11.44140625" customWidth="1"/>
    <col min="12" max="12" width="11.5546875" customWidth="1"/>
    <col min="13" max="13" width="16.21875" customWidth="1"/>
    <col min="14" max="14" width="8.77734375" bestFit="1" customWidth="1"/>
    <col min="15" max="15" width="10.6640625" bestFit="1" customWidth="1"/>
    <col min="16" max="16" width="8.77734375" bestFit="1" customWidth="1"/>
    <col min="17" max="17" width="10.77734375" bestFit="1" customWidth="1"/>
  </cols>
  <sheetData>
    <row r="4" spans="1:15" s="1" customFormat="1" x14ac:dyDescent="0.3">
      <c r="B4" s="129" t="s">
        <v>6</v>
      </c>
      <c r="C4" s="131" t="s">
        <v>7</v>
      </c>
      <c r="D4" s="131" t="s">
        <v>8</v>
      </c>
      <c r="E4" s="131" t="s">
        <v>9</v>
      </c>
      <c r="F4" s="131" t="s">
        <v>10</v>
      </c>
      <c r="G4" s="126" t="s">
        <v>11</v>
      </c>
      <c r="H4" s="126"/>
      <c r="I4" s="126" t="s">
        <v>12</v>
      </c>
      <c r="J4" s="126"/>
      <c r="K4" s="126" t="s">
        <v>13</v>
      </c>
      <c r="L4" s="126"/>
      <c r="M4" s="127" t="s">
        <v>14</v>
      </c>
      <c r="N4" s="44"/>
    </row>
    <row r="5" spans="1:15" s="1" customFormat="1" ht="27.6" customHeight="1" x14ac:dyDescent="0.3">
      <c r="B5" s="130"/>
      <c r="C5" s="132"/>
      <c r="D5" s="132"/>
      <c r="E5" s="132"/>
      <c r="F5" s="133"/>
      <c r="G5" s="2" t="s">
        <v>15</v>
      </c>
      <c r="H5" s="2" t="s">
        <v>16</v>
      </c>
      <c r="I5" s="2" t="s">
        <v>15</v>
      </c>
      <c r="J5" s="2" t="s">
        <v>16</v>
      </c>
      <c r="K5" s="2" t="s">
        <v>15</v>
      </c>
      <c r="L5" s="2" t="s">
        <v>16</v>
      </c>
      <c r="M5" s="128"/>
      <c r="N5" s="43"/>
    </row>
    <row r="6" spans="1:15" s="3" customFormat="1" x14ac:dyDescent="0.3">
      <c r="B6" s="4">
        <v>1</v>
      </c>
      <c r="C6" s="4">
        <v>2</v>
      </c>
      <c r="D6" s="4">
        <v>3</v>
      </c>
      <c r="E6" s="4">
        <v>4</v>
      </c>
      <c r="F6" s="4">
        <v>5</v>
      </c>
      <c r="G6" s="4">
        <v>6</v>
      </c>
      <c r="H6" s="4">
        <v>7</v>
      </c>
      <c r="I6" s="4">
        <v>8</v>
      </c>
      <c r="J6" s="4">
        <v>9</v>
      </c>
      <c r="K6" s="4">
        <v>10</v>
      </c>
      <c r="L6" s="4">
        <v>11</v>
      </c>
      <c r="M6" s="4">
        <v>12</v>
      </c>
      <c r="N6" s="44"/>
    </row>
    <row r="7" spans="1:15" s="3" customFormat="1" ht="27.45" customHeight="1" x14ac:dyDescent="0.3">
      <c r="B7" s="5">
        <v>1</v>
      </c>
      <c r="C7" s="23" t="s">
        <v>17</v>
      </c>
      <c r="D7" s="6" t="s">
        <v>18</v>
      </c>
      <c r="E7" s="6"/>
      <c r="F7" s="7">
        <v>950</v>
      </c>
      <c r="G7" s="8"/>
      <c r="H7" s="9"/>
      <c r="I7" s="10"/>
      <c r="J7" s="9"/>
      <c r="K7" s="10"/>
      <c r="L7" s="9"/>
      <c r="M7" s="11"/>
    </row>
    <row r="8" spans="1:15" s="3" customFormat="1" ht="13.8" x14ac:dyDescent="0.3">
      <c r="B8" s="12"/>
      <c r="C8" s="13" t="s">
        <v>19</v>
      </c>
      <c r="D8" s="14" t="s">
        <v>18</v>
      </c>
      <c r="E8" s="12">
        <v>1</v>
      </c>
      <c r="F8" s="15">
        <f>F7</f>
        <v>950</v>
      </c>
      <c r="G8" s="16"/>
      <c r="H8" s="16"/>
      <c r="I8" s="16"/>
      <c r="J8" s="16"/>
      <c r="K8" s="16"/>
      <c r="L8" s="16">
        <f>F8*K8</f>
        <v>0</v>
      </c>
      <c r="M8" s="16">
        <f>H8+J8+L8</f>
        <v>0</v>
      </c>
      <c r="N8" s="62"/>
    </row>
    <row r="9" spans="1:15" s="3" customFormat="1" ht="27.6" x14ac:dyDescent="0.3">
      <c r="B9" s="5">
        <f>MAX($B$5:B8)+1</f>
        <v>2</v>
      </c>
      <c r="C9" s="67" t="s">
        <v>20</v>
      </c>
      <c r="D9" s="6" t="s">
        <v>18</v>
      </c>
      <c r="E9" s="6"/>
      <c r="F9" s="7">
        <v>110</v>
      </c>
      <c r="G9" s="8"/>
      <c r="H9" s="9"/>
      <c r="I9" s="10"/>
      <c r="J9" s="9"/>
      <c r="K9" s="10"/>
      <c r="L9" s="9"/>
      <c r="M9" s="11"/>
    </row>
    <row r="10" spans="1:15" s="3" customFormat="1" ht="13.8" x14ac:dyDescent="0.3">
      <c r="B10" s="12"/>
      <c r="C10" s="13" t="s">
        <v>19</v>
      </c>
      <c r="D10" s="14" t="s">
        <v>18</v>
      </c>
      <c r="E10" s="12">
        <v>1</v>
      </c>
      <c r="F10" s="15">
        <f>F9</f>
        <v>110</v>
      </c>
      <c r="G10" s="16"/>
      <c r="H10" s="16"/>
      <c r="I10" s="16"/>
      <c r="J10" s="16"/>
      <c r="K10" s="16"/>
      <c r="L10" s="16">
        <f>F10*K10</f>
        <v>0</v>
      </c>
      <c r="M10" s="16">
        <f>H10+J10+L10</f>
        <v>0</v>
      </c>
      <c r="N10" s="62"/>
    </row>
    <row r="11" spans="1:15" s="25" customFormat="1" ht="15" x14ac:dyDescent="0.3">
      <c r="B11" s="36"/>
      <c r="C11" s="36" t="s">
        <v>173</v>
      </c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49"/>
      <c r="O11" s="64"/>
    </row>
    <row r="12" spans="1:15" s="3" customFormat="1" x14ac:dyDescent="0.3">
      <c r="B12" s="5">
        <f>MAX($B$5:B11)+1</f>
        <v>3</v>
      </c>
      <c r="C12" s="23" t="s">
        <v>172</v>
      </c>
      <c r="D12" s="6" t="s">
        <v>55</v>
      </c>
      <c r="E12" s="6"/>
      <c r="F12" s="7">
        <v>296</v>
      </c>
      <c r="G12" s="8"/>
      <c r="H12" s="9"/>
      <c r="I12" s="10"/>
      <c r="J12" s="9"/>
      <c r="K12" s="10"/>
      <c r="L12" s="9"/>
      <c r="M12" s="11"/>
    </row>
    <row r="13" spans="1:15" s="24" customFormat="1" ht="15" x14ac:dyDescent="0.3">
      <c r="A13" s="71"/>
      <c r="B13" s="12"/>
      <c r="C13" s="13" t="s">
        <v>24</v>
      </c>
      <c r="D13" s="14" t="s">
        <v>55</v>
      </c>
      <c r="E13" s="12">
        <v>1</v>
      </c>
      <c r="F13" s="15">
        <f>F12*E13</f>
        <v>296</v>
      </c>
      <c r="G13" s="16"/>
      <c r="H13" s="16"/>
      <c r="I13" s="68"/>
      <c r="J13" s="68">
        <f>F13*I13</f>
        <v>0</v>
      </c>
      <c r="K13" s="68"/>
      <c r="L13" s="68"/>
      <c r="M13" s="68">
        <f>H13+J13+L13</f>
        <v>0</v>
      </c>
      <c r="N13" s="43"/>
    </row>
    <row r="14" spans="1:15" s="24" customFormat="1" ht="15" x14ac:dyDescent="0.3">
      <c r="A14" s="71"/>
      <c r="B14" s="12"/>
      <c r="C14" s="13" t="s">
        <v>42</v>
      </c>
      <c r="D14" s="14" t="s">
        <v>43</v>
      </c>
      <c r="E14" s="12">
        <v>0.02</v>
      </c>
      <c r="F14" s="15">
        <f>E14*F12</f>
        <v>5.92</v>
      </c>
      <c r="G14" s="16"/>
      <c r="H14" s="16"/>
      <c r="I14" s="68"/>
      <c r="J14" s="68"/>
      <c r="K14" s="68"/>
      <c r="L14" s="68">
        <f>F14*K14</f>
        <v>0</v>
      </c>
      <c r="M14" s="68">
        <f>L14*1</f>
        <v>0</v>
      </c>
      <c r="N14" s="70"/>
    </row>
    <row r="15" spans="1:15" s="24" customFormat="1" ht="16.2" x14ac:dyDescent="0.3">
      <c r="A15" s="71"/>
      <c r="B15" s="12"/>
      <c r="C15" s="13" t="s">
        <v>29</v>
      </c>
      <c r="D15" s="14" t="s">
        <v>58</v>
      </c>
      <c r="E15" s="12">
        <v>0.10199999999999999</v>
      </c>
      <c r="F15" s="15">
        <f>F13*E15</f>
        <v>30.191999999999997</v>
      </c>
      <c r="G15" s="16"/>
      <c r="H15" s="16">
        <f>G15*F15</f>
        <v>0</v>
      </c>
      <c r="I15" s="68"/>
      <c r="J15" s="68"/>
      <c r="K15" s="68"/>
      <c r="L15" s="68"/>
      <c r="M15" s="68">
        <f t="shared" ref="M15:M16" si="0">L15+J15+H15</f>
        <v>0</v>
      </c>
      <c r="N15" s="70"/>
      <c r="O15" s="70"/>
    </row>
    <row r="16" spans="1:15" s="24" customFormat="1" ht="16.2" x14ac:dyDescent="0.3">
      <c r="A16" s="71"/>
      <c r="B16" s="12"/>
      <c r="C16" s="13" t="s">
        <v>52</v>
      </c>
      <c r="D16" s="14" t="s">
        <v>58</v>
      </c>
      <c r="E16" s="12">
        <f>11/1000</f>
        <v>1.0999999999999999E-2</v>
      </c>
      <c r="F16" s="15">
        <f>E16*F12</f>
        <v>3.2559999999999998</v>
      </c>
      <c r="G16" s="16"/>
      <c r="H16" s="16">
        <f>F16*G16</f>
        <v>0</v>
      </c>
      <c r="I16" s="68"/>
      <c r="J16" s="68"/>
      <c r="K16" s="68"/>
      <c r="L16" s="68"/>
      <c r="M16" s="68">
        <f t="shared" si="0"/>
        <v>0</v>
      </c>
      <c r="N16" s="69"/>
      <c r="O16" s="70"/>
    </row>
    <row r="17" spans="1:16" s="3" customFormat="1" ht="15" x14ac:dyDescent="0.3">
      <c r="B17" s="5">
        <f>MAX($B$5:B16)+1</f>
        <v>4</v>
      </c>
      <c r="C17" s="23" t="s">
        <v>174</v>
      </c>
      <c r="D17" s="6" t="s">
        <v>60</v>
      </c>
      <c r="E17" s="6"/>
      <c r="F17" s="7">
        <v>296</v>
      </c>
      <c r="G17" s="8"/>
      <c r="H17" s="9"/>
      <c r="I17" s="10"/>
      <c r="J17" s="9"/>
      <c r="K17" s="10"/>
      <c r="L17" s="9"/>
      <c r="M17" s="11"/>
      <c r="O17" s="64"/>
    </row>
    <row r="18" spans="1:16" s="24" customFormat="1" ht="15" x14ac:dyDescent="0.3">
      <c r="A18" s="71"/>
      <c r="B18" s="12"/>
      <c r="C18" s="13" t="s">
        <v>61</v>
      </c>
      <c r="D18" s="14" t="s">
        <v>55</v>
      </c>
      <c r="E18" s="12">
        <v>0.998</v>
      </c>
      <c r="F18" s="15">
        <f>F17*E18</f>
        <v>295.40800000000002</v>
      </c>
      <c r="G18" s="16"/>
      <c r="H18" s="16"/>
      <c r="I18" s="68"/>
      <c r="J18" s="68">
        <f>F18*I18</f>
        <v>0</v>
      </c>
      <c r="K18" s="68"/>
      <c r="L18" s="68"/>
      <c r="M18" s="68">
        <f>H18+J18+L18</f>
        <v>0</v>
      </c>
      <c r="N18" s="43"/>
      <c r="O18" s="64"/>
    </row>
    <row r="19" spans="1:16" s="24" customFormat="1" ht="15" x14ac:dyDescent="0.3">
      <c r="A19" s="71"/>
      <c r="B19" s="12"/>
      <c r="C19" s="13" t="s">
        <v>62</v>
      </c>
      <c r="D19" s="14" t="s">
        <v>43</v>
      </c>
      <c r="E19" s="12">
        <v>8.6999999999999994E-2</v>
      </c>
      <c r="F19" s="15">
        <f>E19*F17</f>
        <v>25.751999999999999</v>
      </c>
      <c r="G19" s="16"/>
      <c r="H19" s="16"/>
      <c r="I19" s="68"/>
      <c r="J19" s="68"/>
      <c r="K19" s="68"/>
      <c r="L19" s="68">
        <f>F19*K19</f>
        <v>0</v>
      </c>
      <c r="M19" s="68">
        <f t="shared" ref="M19:M23" si="1">H19+J19+L19</f>
        <v>0</v>
      </c>
      <c r="N19" s="70"/>
      <c r="O19" s="64"/>
    </row>
    <row r="20" spans="1:16" s="24" customFormat="1" ht="15" x14ac:dyDescent="0.3">
      <c r="A20" s="71"/>
      <c r="B20" s="12"/>
      <c r="C20" s="13" t="s">
        <v>63</v>
      </c>
      <c r="D20" s="14" t="s">
        <v>60</v>
      </c>
      <c r="E20" s="12">
        <v>1.05</v>
      </c>
      <c r="F20" s="15">
        <f>E20*F17</f>
        <v>310.8</v>
      </c>
      <c r="G20" s="16"/>
      <c r="H20" s="16">
        <f>F20*G20</f>
        <v>0</v>
      </c>
      <c r="I20" s="68"/>
      <c r="J20" s="68"/>
      <c r="K20" s="68"/>
      <c r="L20" s="68"/>
      <c r="M20" s="68">
        <f t="shared" si="1"/>
        <v>0</v>
      </c>
      <c r="N20" s="70"/>
    </row>
    <row r="21" spans="1:16" s="24" customFormat="1" ht="15" x14ac:dyDescent="0.3">
      <c r="A21" s="71"/>
      <c r="B21" s="12"/>
      <c r="C21" s="13" t="s">
        <v>183</v>
      </c>
      <c r="D21" s="14" t="s">
        <v>23</v>
      </c>
      <c r="E21" s="12">
        <v>1.9E-2</v>
      </c>
      <c r="F21" s="15">
        <f>E21*F17</f>
        <v>5.6239999999999997</v>
      </c>
      <c r="G21" s="16"/>
      <c r="H21" s="16">
        <f>F21*G21</f>
        <v>0</v>
      </c>
      <c r="I21" s="68"/>
      <c r="J21" s="68"/>
      <c r="K21" s="68"/>
      <c r="L21" s="68"/>
      <c r="M21" s="68">
        <f t="shared" si="1"/>
        <v>0</v>
      </c>
      <c r="N21" s="70"/>
    </row>
    <row r="22" spans="1:16" s="24" customFormat="1" ht="15" x14ac:dyDescent="0.3">
      <c r="A22" s="71"/>
      <c r="B22" s="12"/>
      <c r="C22" s="13" t="s">
        <v>175</v>
      </c>
      <c r="D22" s="14" t="s">
        <v>65</v>
      </c>
      <c r="E22" s="12">
        <v>8.9999999999999993E-3</v>
      </c>
      <c r="F22" s="15">
        <f>E22*F17</f>
        <v>2.6639999999999997</v>
      </c>
      <c r="G22" s="16"/>
      <c r="H22" s="16">
        <f>F22*G22</f>
        <v>0</v>
      </c>
      <c r="I22" s="68"/>
      <c r="J22" s="68"/>
      <c r="K22" s="68"/>
      <c r="L22" s="68"/>
      <c r="M22" s="68">
        <f t="shared" si="1"/>
        <v>0</v>
      </c>
      <c r="N22" s="70"/>
    </row>
    <row r="23" spans="1:16" s="24" customFormat="1" ht="15" x14ac:dyDescent="0.3">
      <c r="A23" s="71"/>
      <c r="B23" s="12"/>
      <c r="C23" s="13" t="s">
        <v>66</v>
      </c>
      <c r="D23" s="14" t="s">
        <v>43</v>
      </c>
      <c r="E23" s="12">
        <v>3.0000000000000001E-3</v>
      </c>
      <c r="F23" s="15">
        <f>E23*F17</f>
        <v>0.88800000000000001</v>
      </c>
      <c r="G23" s="16"/>
      <c r="H23" s="16">
        <f>F23*G23</f>
        <v>0</v>
      </c>
      <c r="I23" s="68"/>
      <c r="J23" s="68"/>
      <c r="K23" s="68"/>
      <c r="L23" s="68"/>
      <c r="M23" s="68">
        <f t="shared" si="1"/>
        <v>0</v>
      </c>
      <c r="N23" s="70"/>
    </row>
    <row r="24" spans="1:16" s="25" customFormat="1" x14ac:dyDescent="0.3">
      <c r="B24" s="36"/>
      <c r="C24" s="36" t="s">
        <v>21</v>
      </c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49"/>
      <c r="O24" s="27"/>
    </row>
    <row r="25" spans="1:16" s="3" customFormat="1" x14ac:dyDescent="0.3">
      <c r="B25" s="5">
        <f>MAX($B$5:B24)+1</f>
        <v>5</v>
      </c>
      <c r="C25" s="23" t="s">
        <v>22</v>
      </c>
      <c r="D25" s="6" t="s">
        <v>23</v>
      </c>
      <c r="E25" s="6"/>
      <c r="F25" s="7">
        <f>350*0.15</f>
        <v>52.5</v>
      </c>
      <c r="G25" s="8"/>
      <c r="H25" s="9"/>
      <c r="I25" s="10"/>
      <c r="J25" s="9"/>
      <c r="K25" s="10"/>
      <c r="L25" s="9"/>
      <c r="M25" s="11"/>
      <c r="N25" s="43"/>
    </row>
    <row r="26" spans="1:16" s="24" customFormat="1" ht="15" x14ac:dyDescent="0.3">
      <c r="A26" s="71"/>
      <c r="B26" s="12"/>
      <c r="C26" s="13" t="s">
        <v>24</v>
      </c>
      <c r="D26" s="14" t="s">
        <v>23</v>
      </c>
      <c r="E26" s="12">
        <v>1</v>
      </c>
      <c r="F26" s="15">
        <f>F25*E26</f>
        <v>52.5</v>
      </c>
      <c r="G26" s="16"/>
      <c r="H26" s="16"/>
      <c r="I26" s="68"/>
      <c r="J26" s="68">
        <f>I26*F26</f>
        <v>0</v>
      </c>
      <c r="K26" s="68"/>
      <c r="L26" s="68"/>
      <c r="M26" s="68">
        <f>L26+J26+H26</f>
        <v>0</v>
      </c>
      <c r="N26" s="70"/>
    </row>
    <row r="27" spans="1:16" s="24" customFormat="1" ht="15" x14ac:dyDescent="0.3">
      <c r="A27" s="71"/>
      <c r="B27" s="12"/>
      <c r="C27" s="13" t="s">
        <v>42</v>
      </c>
      <c r="D27" s="14" t="s">
        <v>25</v>
      </c>
      <c r="E27" s="12">
        <v>0.27900000000000003</v>
      </c>
      <c r="F27" s="15">
        <f>E27*F25</f>
        <v>14.647500000000001</v>
      </c>
      <c r="G27" s="16"/>
      <c r="H27" s="16"/>
      <c r="I27" s="68"/>
      <c r="J27" s="68"/>
      <c r="K27" s="68"/>
      <c r="L27" s="68">
        <f t="shared" ref="L27" si="2">F27*K27</f>
        <v>0</v>
      </c>
      <c r="M27" s="68">
        <f t="shared" ref="M27" si="3">L27+J27+H27</f>
        <v>0</v>
      </c>
      <c r="O27" s="116"/>
    </row>
    <row r="28" spans="1:16" s="24" customFormat="1" ht="15" x14ac:dyDescent="0.3">
      <c r="A28" s="71"/>
      <c r="B28" s="12"/>
      <c r="C28" s="13" t="s">
        <v>26</v>
      </c>
      <c r="D28" s="14" t="s">
        <v>27</v>
      </c>
      <c r="E28" s="12">
        <v>1.26</v>
      </c>
      <c r="F28" s="15">
        <f>E28*F25</f>
        <v>66.150000000000006</v>
      </c>
      <c r="G28" s="16"/>
      <c r="H28" s="16">
        <f>F28*G28</f>
        <v>0</v>
      </c>
      <c r="I28" s="68"/>
      <c r="J28" s="68"/>
      <c r="K28" s="68"/>
      <c r="L28" s="68"/>
      <c r="M28" s="68">
        <f>L28+J28+H28</f>
        <v>0</v>
      </c>
      <c r="N28" s="69"/>
      <c r="O28" s="117"/>
    </row>
    <row r="29" spans="1:16" s="3" customFormat="1" x14ac:dyDescent="0.3">
      <c r="B29" s="5">
        <f>MAX($B$25:B28)+1</f>
        <v>6</v>
      </c>
      <c r="C29" s="23" t="s">
        <v>28</v>
      </c>
      <c r="D29" s="6" t="s">
        <v>23</v>
      </c>
      <c r="E29" s="6"/>
      <c r="F29" s="7">
        <f>350*0.1</f>
        <v>35</v>
      </c>
      <c r="G29" s="8"/>
      <c r="H29" s="9"/>
      <c r="I29" s="10"/>
      <c r="J29" s="9"/>
      <c r="K29" s="10"/>
      <c r="L29" s="9"/>
      <c r="M29" s="11"/>
      <c r="N29" s="43"/>
      <c r="O29" s="24"/>
    </row>
    <row r="30" spans="1:16" s="24" customFormat="1" x14ac:dyDescent="0.3">
      <c r="B30" s="12"/>
      <c r="C30" s="13" t="s">
        <v>24</v>
      </c>
      <c r="D30" s="14" t="s">
        <v>23</v>
      </c>
      <c r="E30" s="12">
        <v>1</v>
      </c>
      <c r="F30" s="15">
        <f>F29*E30</f>
        <v>35</v>
      </c>
      <c r="G30" s="16"/>
      <c r="H30" s="16"/>
      <c r="I30" s="17"/>
      <c r="J30" s="16">
        <f>F30*I30</f>
        <v>0</v>
      </c>
      <c r="K30" s="16"/>
      <c r="L30" s="16"/>
      <c r="M30" s="16">
        <f>J30</f>
        <v>0</v>
      </c>
      <c r="N30" s="45"/>
      <c r="O30" s="3"/>
      <c r="P30" s="3"/>
    </row>
    <row r="31" spans="1:16" s="24" customFormat="1" ht="15" customHeight="1" x14ac:dyDescent="0.3">
      <c r="B31" s="12"/>
      <c r="C31" s="13" t="s">
        <v>42</v>
      </c>
      <c r="D31" s="14" t="s">
        <v>25</v>
      </c>
      <c r="E31" s="12">
        <v>0.12</v>
      </c>
      <c r="F31" s="15">
        <f>F29*E31</f>
        <v>4.2</v>
      </c>
      <c r="G31" s="16"/>
      <c r="H31" s="16"/>
      <c r="I31" s="16"/>
      <c r="J31" s="16"/>
      <c r="K31" s="16"/>
      <c r="L31" s="16">
        <f>F31*K31</f>
        <v>0</v>
      </c>
      <c r="M31" s="16">
        <f>L31</f>
        <v>0</v>
      </c>
      <c r="N31" s="45"/>
      <c r="P31" s="96"/>
    </row>
    <row r="32" spans="1:16" s="24" customFormat="1" x14ac:dyDescent="0.3">
      <c r="B32" s="12"/>
      <c r="C32" s="13" t="s">
        <v>29</v>
      </c>
      <c r="D32" s="14" t="s">
        <v>23</v>
      </c>
      <c r="E32" s="12">
        <f>1.02*80%</f>
        <v>0.81600000000000006</v>
      </c>
      <c r="F32" s="15">
        <f>F29*E32</f>
        <v>28.560000000000002</v>
      </c>
      <c r="G32" s="16"/>
      <c r="H32" s="16">
        <f>F32*G32</f>
        <v>0</v>
      </c>
      <c r="I32" s="16"/>
      <c r="J32" s="16"/>
      <c r="K32" s="16"/>
      <c r="L32" s="16"/>
      <c r="M32" s="16">
        <f>H32</f>
        <v>0</v>
      </c>
      <c r="N32" s="63"/>
    </row>
    <row r="33" spans="1:15" s="24" customFormat="1" ht="13.5" customHeight="1" x14ac:dyDescent="0.3">
      <c r="B33" s="12"/>
      <c r="C33" s="13" t="s">
        <v>30</v>
      </c>
      <c r="D33" s="14" t="s">
        <v>31</v>
      </c>
      <c r="E33" s="12">
        <f>1.03*1.5*10%</f>
        <v>0.1545</v>
      </c>
      <c r="F33" s="15">
        <f>F29*E33</f>
        <v>5.4074999999999998</v>
      </c>
      <c r="G33" s="16"/>
      <c r="H33" s="16">
        <f>F33*G33</f>
        <v>0</v>
      </c>
      <c r="I33" s="16"/>
      <c r="J33" s="16"/>
      <c r="K33" s="16"/>
      <c r="L33" s="16"/>
      <c r="M33" s="16">
        <f>H33</f>
        <v>0</v>
      </c>
      <c r="N33" s="45"/>
    </row>
    <row r="34" spans="1:15" s="25" customFormat="1" x14ac:dyDescent="0.3">
      <c r="B34" s="5">
        <f>MAX($B$25:B33)+1</f>
        <v>7</v>
      </c>
      <c r="C34" s="23" t="s">
        <v>32</v>
      </c>
      <c r="D34" s="6" t="s">
        <v>33</v>
      </c>
      <c r="E34" s="6"/>
      <c r="F34" s="7">
        <v>350</v>
      </c>
      <c r="G34" s="8"/>
      <c r="H34" s="9"/>
      <c r="I34" s="10"/>
      <c r="J34" s="9"/>
      <c r="K34" s="10"/>
      <c r="L34" s="9"/>
      <c r="M34" s="11"/>
      <c r="N34" s="46"/>
    </row>
    <row r="35" spans="1:15" s="25" customFormat="1" x14ac:dyDescent="0.3">
      <c r="B35" s="12"/>
      <c r="C35" s="13" t="s">
        <v>34</v>
      </c>
      <c r="D35" s="14" t="s">
        <v>33</v>
      </c>
      <c r="E35" s="12">
        <v>1</v>
      </c>
      <c r="F35" s="15">
        <f>F34/E35</f>
        <v>350</v>
      </c>
      <c r="G35" s="16"/>
      <c r="H35" s="16"/>
      <c r="I35" s="16"/>
      <c r="J35" s="66">
        <f>I35*F35</f>
        <v>0</v>
      </c>
      <c r="K35" s="16"/>
      <c r="L35" s="16"/>
      <c r="M35" s="66">
        <f>L35+J35+H35</f>
        <v>0</v>
      </c>
      <c r="N35" s="46"/>
    </row>
    <row r="36" spans="1:15" s="25" customFormat="1" x14ac:dyDescent="0.3">
      <c r="B36" s="12"/>
      <c r="C36" s="13" t="s">
        <v>42</v>
      </c>
      <c r="D36" s="14" t="s">
        <v>36</v>
      </c>
      <c r="E36" s="12">
        <v>1</v>
      </c>
      <c r="F36" s="15">
        <f>F38</f>
        <v>35.700000000000003</v>
      </c>
      <c r="G36" s="16"/>
      <c r="H36" s="16"/>
      <c r="I36" s="16"/>
      <c r="J36" s="16"/>
      <c r="K36" s="16"/>
      <c r="L36" s="16">
        <f>K36*F36</f>
        <v>0</v>
      </c>
      <c r="M36" s="16">
        <f t="shared" ref="M36:M39" si="4">L36+J36+H36</f>
        <v>0</v>
      </c>
      <c r="N36" s="46"/>
    </row>
    <row r="37" spans="1:15" s="3" customFormat="1" ht="13.8" x14ac:dyDescent="0.3">
      <c r="B37" s="12"/>
      <c r="C37" s="13" t="s">
        <v>37</v>
      </c>
      <c r="D37" s="14"/>
      <c r="E37" s="12"/>
      <c r="F37" s="15"/>
      <c r="G37" s="16"/>
      <c r="H37" s="16"/>
      <c r="I37" s="16"/>
      <c r="J37" s="16"/>
      <c r="K37" s="16"/>
      <c r="L37" s="16"/>
      <c r="M37" s="16">
        <f>L37+J37+H37</f>
        <v>0</v>
      </c>
      <c r="N37" s="47"/>
    </row>
    <row r="38" spans="1:15" s="25" customFormat="1" x14ac:dyDescent="0.3">
      <c r="B38" s="12"/>
      <c r="C38" s="13" t="s">
        <v>38</v>
      </c>
      <c r="D38" s="14" t="s">
        <v>36</v>
      </c>
      <c r="E38" s="12">
        <f>0.1*1.02</f>
        <v>0.10200000000000001</v>
      </c>
      <c r="F38" s="15">
        <f>F34*E38</f>
        <v>35.700000000000003</v>
      </c>
      <c r="G38" s="17"/>
      <c r="H38" s="16">
        <f>G38*F38</f>
        <v>0</v>
      </c>
      <c r="I38" s="16"/>
      <c r="J38" s="16"/>
      <c r="K38" s="16"/>
      <c r="L38" s="16"/>
      <c r="M38" s="16">
        <f t="shared" si="4"/>
        <v>0</v>
      </c>
      <c r="N38" s="46"/>
    </row>
    <row r="39" spans="1:15" s="25" customFormat="1" x14ac:dyDescent="0.3">
      <c r="B39" s="12"/>
      <c r="C39" s="13" t="s">
        <v>39</v>
      </c>
      <c r="D39" s="14" t="s">
        <v>33</v>
      </c>
      <c r="E39" s="12">
        <v>1.05</v>
      </c>
      <c r="F39" s="15">
        <f>E39*F34</f>
        <v>367.5</v>
      </c>
      <c r="G39" s="16"/>
      <c r="H39" s="16">
        <f>G39*F39</f>
        <v>0</v>
      </c>
      <c r="I39" s="16"/>
      <c r="J39" s="16"/>
      <c r="K39" s="16"/>
      <c r="L39" s="16"/>
      <c r="M39" s="16">
        <f t="shared" si="4"/>
        <v>0</v>
      </c>
      <c r="N39" s="46"/>
    </row>
    <row r="40" spans="1:15" s="25" customFormat="1" x14ac:dyDescent="0.3">
      <c r="B40" s="5">
        <f>MAX($B$25:B39)+1</f>
        <v>8</v>
      </c>
      <c r="C40" s="67" t="s">
        <v>40</v>
      </c>
      <c r="D40" s="6" t="s">
        <v>41</v>
      </c>
      <c r="E40" s="6"/>
      <c r="F40" s="7">
        <v>82</v>
      </c>
      <c r="G40" s="8"/>
      <c r="H40" s="9"/>
      <c r="I40" s="10"/>
      <c r="J40" s="9"/>
      <c r="K40" s="10"/>
      <c r="L40" s="9"/>
      <c r="M40" s="11"/>
      <c r="N40" s="46"/>
    </row>
    <row r="41" spans="1:15" s="25" customFormat="1" x14ac:dyDescent="0.3">
      <c r="B41" s="12"/>
      <c r="C41" s="13" t="s">
        <v>24</v>
      </c>
      <c r="D41" s="14" t="s">
        <v>41</v>
      </c>
      <c r="E41" s="12">
        <v>1</v>
      </c>
      <c r="F41" s="15">
        <f>F40*E41</f>
        <v>82</v>
      </c>
      <c r="G41" s="16"/>
      <c r="H41" s="16"/>
      <c r="I41" s="16"/>
      <c r="J41" s="66">
        <f>F41*I41</f>
        <v>0</v>
      </c>
      <c r="K41" s="16"/>
      <c r="L41" s="16"/>
      <c r="M41" s="16">
        <f>J41</f>
        <v>0</v>
      </c>
      <c r="N41" s="46"/>
    </row>
    <row r="42" spans="1:15" s="25" customFormat="1" x14ac:dyDescent="0.3">
      <c r="B42" s="12"/>
      <c r="C42" s="13" t="s">
        <v>42</v>
      </c>
      <c r="D42" s="14" t="s">
        <v>43</v>
      </c>
      <c r="E42" s="12">
        <v>7.1000000000000004E-3</v>
      </c>
      <c r="F42" s="15">
        <f>F40*E42</f>
        <v>0.58220000000000005</v>
      </c>
      <c r="G42" s="16"/>
      <c r="H42" s="16"/>
      <c r="I42" s="16"/>
      <c r="J42" s="16"/>
      <c r="K42" s="16"/>
      <c r="L42" s="16">
        <f>F42*K42</f>
        <v>0</v>
      </c>
      <c r="M42" s="16">
        <f>L42</f>
        <v>0</v>
      </c>
      <c r="N42" s="46"/>
    </row>
    <row r="43" spans="1:15" s="3" customFormat="1" ht="13.8" x14ac:dyDescent="0.3">
      <c r="B43" s="12"/>
      <c r="C43" s="13" t="s">
        <v>187</v>
      </c>
      <c r="D43" s="14" t="s">
        <v>41</v>
      </c>
      <c r="E43" s="12">
        <v>1</v>
      </c>
      <c r="F43" s="15">
        <f>F40*E43</f>
        <v>82</v>
      </c>
      <c r="G43" s="16"/>
      <c r="H43" s="16">
        <f>F43*G43</f>
        <v>0</v>
      </c>
      <c r="I43" s="16"/>
      <c r="J43" s="16"/>
      <c r="K43" s="16"/>
      <c r="L43" s="16"/>
      <c r="M43" s="16">
        <f>H43</f>
        <v>0</v>
      </c>
      <c r="N43" s="47"/>
    </row>
    <row r="44" spans="1:15" s="25" customFormat="1" ht="15" x14ac:dyDescent="0.3">
      <c r="B44" s="12"/>
      <c r="C44" s="13" t="s">
        <v>45</v>
      </c>
      <c r="D44" s="14" t="s">
        <v>23</v>
      </c>
      <c r="E44" s="12">
        <v>5.8999999999999997E-2</v>
      </c>
      <c r="F44" s="15">
        <f>F40*E44</f>
        <v>4.8380000000000001</v>
      </c>
      <c r="G44" s="17"/>
      <c r="H44" s="16">
        <f>F44*G44</f>
        <v>0</v>
      </c>
      <c r="I44" s="16"/>
      <c r="J44" s="16"/>
      <c r="K44" s="16"/>
      <c r="L44" s="16"/>
      <c r="M44" s="16">
        <f>H44</f>
        <v>0</v>
      </c>
      <c r="N44" s="46"/>
    </row>
    <row r="45" spans="1:15" s="25" customFormat="1" x14ac:dyDescent="0.3">
      <c r="B45" s="12"/>
      <c r="C45" s="13" t="s">
        <v>46</v>
      </c>
      <c r="D45" s="14" t="s">
        <v>23</v>
      </c>
      <c r="E45" s="12">
        <v>5.9999999999999995E-4</v>
      </c>
      <c r="F45" s="15">
        <f>F40*E45</f>
        <v>4.9199999999999994E-2</v>
      </c>
      <c r="G45" s="16"/>
      <c r="H45" s="16">
        <f>F45*G45</f>
        <v>0</v>
      </c>
      <c r="I45" s="16"/>
      <c r="J45" s="66"/>
      <c r="K45" s="16"/>
      <c r="L45" s="16"/>
      <c r="M45" s="16">
        <f>H45</f>
        <v>0</v>
      </c>
      <c r="N45" s="46"/>
    </row>
    <row r="46" spans="1:15" s="64" customFormat="1" ht="15" x14ac:dyDescent="0.3">
      <c r="A46" s="65"/>
      <c r="B46" s="12"/>
      <c r="C46" s="13" t="s">
        <v>47</v>
      </c>
      <c r="D46" s="14" t="s">
        <v>43</v>
      </c>
      <c r="E46" s="12">
        <v>9.6000000000000002E-2</v>
      </c>
      <c r="F46" s="15">
        <f>F40*E46</f>
        <v>7.8719999999999999</v>
      </c>
      <c r="G46" s="16"/>
      <c r="H46" s="16">
        <f>F46*G46</f>
        <v>0</v>
      </c>
      <c r="I46" s="16"/>
      <c r="J46" s="66"/>
      <c r="K46" s="16"/>
      <c r="L46" s="16"/>
      <c r="M46" s="16">
        <f>H46</f>
        <v>0</v>
      </c>
    </row>
    <row r="47" spans="1:15" s="25" customFormat="1" x14ac:dyDescent="0.3">
      <c r="B47" s="36"/>
      <c r="C47" s="36" t="s">
        <v>48</v>
      </c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49"/>
      <c r="O47" s="27"/>
    </row>
    <row r="48" spans="1:15" s="3" customFormat="1" x14ac:dyDescent="0.3">
      <c r="B48" s="5">
        <f>MAX($B$25:B47)+1</f>
        <v>9</v>
      </c>
      <c r="C48" s="23" t="s">
        <v>49</v>
      </c>
      <c r="D48" s="6" t="s">
        <v>23</v>
      </c>
      <c r="E48" s="6"/>
      <c r="F48" s="7">
        <f>398*0.25</f>
        <v>99.5</v>
      </c>
      <c r="G48" s="8"/>
      <c r="H48" s="9"/>
      <c r="I48" s="10"/>
      <c r="J48" s="9"/>
      <c r="K48" s="10"/>
      <c r="L48" s="9"/>
      <c r="M48" s="11"/>
      <c r="N48" s="43"/>
    </row>
    <row r="49" spans="1:15" s="24" customFormat="1" ht="15" x14ac:dyDescent="0.3">
      <c r="A49" s="71"/>
      <c r="B49" s="12"/>
      <c r="C49" s="13" t="s">
        <v>24</v>
      </c>
      <c r="D49" s="14" t="s">
        <v>23</v>
      </c>
      <c r="E49" s="12">
        <v>1</v>
      </c>
      <c r="F49" s="15">
        <f>F48*E49</f>
        <v>99.5</v>
      </c>
      <c r="G49" s="16"/>
      <c r="H49" s="16"/>
      <c r="I49" s="68"/>
      <c r="J49" s="68">
        <f>F49*I49</f>
        <v>0</v>
      </c>
      <c r="K49" s="68"/>
      <c r="L49" s="68"/>
      <c r="M49" s="68">
        <f>J49</f>
        <v>0</v>
      </c>
      <c r="N49" s="70"/>
    </row>
    <row r="50" spans="1:15" s="24" customFormat="1" ht="15" x14ac:dyDescent="0.3">
      <c r="A50" s="71"/>
      <c r="B50" s="12"/>
      <c r="C50" s="13" t="s">
        <v>42</v>
      </c>
      <c r="D50" s="14" t="s">
        <v>25</v>
      </c>
      <c r="E50" s="12">
        <v>5.8599999999999999E-2</v>
      </c>
      <c r="F50" s="15">
        <f>F48*E50</f>
        <v>5.8307000000000002</v>
      </c>
      <c r="G50" s="16"/>
      <c r="H50" s="16"/>
      <c r="I50" s="68"/>
      <c r="J50" s="68"/>
      <c r="K50" s="68"/>
      <c r="L50" s="68">
        <f>F50*K50</f>
        <v>0</v>
      </c>
      <c r="M50" s="68">
        <f>L50</f>
        <v>0</v>
      </c>
      <c r="N50" s="70"/>
    </row>
    <row r="51" spans="1:15" s="24" customFormat="1" ht="15" x14ac:dyDescent="0.3">
      <c r="A51" s="71"/>
      <c r="B51" s="12"/>
      <c r="C51" s="13" t="s">
        <v>50</v>
      </c>
      <c r="D51" s="14" t="s">
        <v>51</v>
      </c>
      <c r="E51" s="12">
        <v>1.22</v>
      </c>
      <c r="F51" s="15">
        <f>F48*E51</f>
        <v>121.39</v>
      </c>
      <c r="G51" s="16"/>
      <c r="H51" s="16">
        <f>F51*G51</f>
        <v>0</v>
      </c>
      <c r="I51" s="68"/>
      <c r="J51" s="68"/>
      <c r="K51" s="68"/>
      <c r="L51" s="68"/>
      <c r="M51" s="68">
        <f>H51</f>
        <v>0</v>
      </c>
      <c r="N51" s="70"/>
    </row>
    <row r="52" spans="1:15" s="24" customFormat="1" ht="15" x14ac:dyDescent="0.3">
      <c r="A52" s="71"/>
      <c r="B52" s="12"/>
      <c r="C52" s="13" t="s">
        <v>52</v>
      </c>
      <c r="D52" s="14" t="s">
        <v>23</v>
      </c>
      <c r="E52" s="12">
        <v>7.0000000000000007E-2</v>
      </c>
      <c r="F52" s="15">
        <f>F48*E52</f>
        <v>6.9650000000000007</v>
      </c>
      <c r="G52" s="16"/>
      <c r="H52" s="16">
        <f>F52*G52</f>
        <v>0</v>
      </c>
      <c r="I52" s="68"/>
      <c r="J52" s="68"/>
      <c r="K52" s="68"/>
      <c r="L52" s="68"/>
      <c r="M52" s="68">
        <f>H52</f>
        <v>0</v>
      </c>
      <c r="N52" s="70"/>
      <c r="O52" s="116"/>
    </row>
    <row r="53" spans="1:15" s="3" customFormat="1" x14ac:dyDescent="0.3">
      <c r="B53" s="5">
        <f>MAX($B$25:B52)+1</f>
        <v>10</v>
      </c>
      <c r="C53" s="23" t="s">
        <v>53</v>
      </c>
      <c r="D53" s="6" t="s">
        <v>23</v>
      </c>
      <c r="E53" s="6"/>
      <c r="F53" s="7">
        <f>398*0.1</f>
        <v>39.800000000000004</v>
      </c>
      <c r="G53" s="8"/>
      <c r="H53" s="9"/>
      <c r="I53" s="10"/>
      <c r="J53" s="9"/>
      <c r="K53" s="10"/>
      <c r="L53" s="9"/>
      <c r="M53" s="11"/>
      <c r="N53" s="43"/>
      <c r="O53" s="115"/>
    </row>
    <row r="54" spans="1:15" s="24" customFormat="1" ht="15" x14ac:dyDescent="0.3">
      <c r="A54" s="71"/>
      <c r="B54" s="12"/>
      <c r="C54" s="13" t="s">
        <v>24</v>
      </c>
      <c r="D54" s="14" t="s">
        <v>23</v>
      </c>
      <c r="E54" s="12">
        <v>1</v>
      </c>
      <c r="F54" s="15">
        <f>F53*E54</f>
        <v>39.800000000000004</v>
      </c>
      <c r="G54" s="16"/>
      <c r="H54" s="16"/>
      <c r="I54" s="68"/>
      <c r="J54" s="68">
        <f>I54*F54</f>
        <v>0</v>
      </c>
      <c r="K54" s="68"/>
      <c r="L54" s="68"/>
      <c r="M54" s="68">
        <f>L54+J54+H54</f>
        <v>0</v>
      </c>
      <c r="N54" s="70"/>
    </row>
    <row r="55" spans="1:15" s="24" customFormat="1" ht="15" x14ac:dyDescent="0.3">
      <c r="A55" s="71"/>
      <c r="B55" s="12"/>
      <c r="C55" s="13" t="s">
        <v>42</v>
      </c>
      <c r="D55" s="14" t="s">
        <v>25</v>
      </c>
      <c r="E55" s="12">
        <v>2.7900000000000001E-2</v>
      </c>
      <c r="F55" s="15">
        <f>E55*F53</f>
        <v>1.1104200000000002</v>
      </c>
      <c r="G55" s="16"/>
      <c r="H55" s="16"/>
      <c r="I55" s="68"/>
      <c r="J55" s="68"/>
      <c r="K55" s="68"/>
      <c r="L55" s="68">
        <f t="shared" ref="L55" si="5">F55*K55</f>
        <v>0</v>
      </c>
      <c r="M55" s="68">
        <f t="shared" ref="M55:M56" si="6">L55+J55+H55</f>
        <v>0</v>
      </c>
      <c r="N55" s="70"/>
    </row>
    <row r="56" spans="1:15" s="24" customFormat="1" ht="15" x14ac:dyDescent="0.3">
      <c r="A56" s="71"/>
      <c r="B56" s="12"/>
      <c r="C56" s="13" t="s">
        <v>26</v>
      </c>
      <c r="D56" s="14" t="s">
        <v>23</v>
      </c>
      <c r="E56" s="12">
        <v>1.26</v>
      </c>
      <c r="F56" s="15">
        <f>E56*F53</f>
        <v>50.148000000000003</v>
      </c>
      <c r="G56" s="16"/>
      <c r="H56" s="16">
        <f>F56*G56</f>
        <v>0</v>
      </c>
      <c r="I56" s="68"/>
      <c r="J56" s="68"/>
      <c r="K56" s="68"/>
      <c r="L56" s="68"/>
      <c r="M56" s="68">
        <f t="shared" si="6"/>
        <v>0</v>
      </c>
      <c r="N56" s="69"/>
      <c r="O56" s="70"/>
    </row>
    <row r="57" spans="1:15" s="3" customFormat="1" x14ac:dyDescent="0.3">
      <c r="B57" s="5">
        <f>MAX($B$25:B56)+1</f>
        <v>11</v>
      </c>
      <c r="C57" s="23" t="s">
        <v>54</v>
      </c>
      <c r="D57" s="6" t="s">
        <v>55</v>
      </c>
      <c r="E57" s="6"/>
      <c r="F57" s="7">
        <v>398</v>
      </c>
      <c r="G57" s="8"/>
      <c r="H57" s="9"/>
      <c r="I57" s="10"/>
      <c r="J57" s="9"/>
      <c r="K57" s="10"/>
      <c r="L57" s="9"/>
      <c r="M57" s="11"/>
    </row>
    <row r="58" spans="1:15" s="24" customFormat="1" ht="15" x14ac:dyDescent="0.3">
      <c r="A58" s="71"/>
      <c r="B58" s="12"/>
      <c r="C58" s="13" t="s">
        <v>24</v>
      </c>
      <c r="D58" s="14" t="s">
        <v>55</v>
      </c>
      <c r="E58" s="12">
        <v>1</v>
      </c>
      <c r="F58" s="15">
        <f>F57*E58</f>
        <v>398</v>
      </c>
      <c r="G58" s="16"/>
      <c r="H58" s="16"/>
      <c r="I58" s="68"/>
      <c r="J58" s="68">
        <f>F58*I58</f>
        <v>0</v>
      </c>
      <c r="K58" s="68"/>
      <c r="L58" s="68"/>
      <c r="M58" s="68">
        <f>H58+J58+L58</f>
        <v>0</v>
      </c>
      <c r="N58" s="43"/>
    </row>
    <row r="59" spans="1:15" s="24" customFormat="1" ht="15" x14ac:dyDescent="0.3">
      <c r="A59" s="71"/>
      <c r="B59" s="12"/>
      <c r="C59" s="13" t="s">
        <v>42</v>
      </c>
      <c r="D59" s="14" t="s">
        <v>43</v>
      </c>
      <c r="E59" s="12">
        <v>0.02</v>
      </c>
      <c r="F59" s="15">
        <f>E59*F57</f>
        <v>7.96</v>
      </c>
      <c r="G59" s="16"/>
      <c r="H59" s="16"/>
      <c r="I59" s="68"/>
      <c r="J59" s="68"/>
      <c r="K59" s="68"/>
      <c r="L59" s="68">
        <f>F59*K59</f>
        <v>0</v>
      </c>
      <c r="M59" s="68">
        <f>L59*1</f>
        <v>0</v>
      </c>
      <c r="N59" s="70"/>
    </row>
    <row r="60" spans="1:15" s="24" customFormat="1" ht="16.2" x14ac:dyDescent="0.3">
      <c r="A60" s="71"/>
      <c r="B60" s="12"/>
      <c r="C60" s="13" t="s">
        <v>29</v>
      </c>
      <c r="D60" s="14" t="s">
        <v>58</v>
      </c>
      <c r="E60" s="12">
        <v>0.08</v>
      </c>
      <c r="F60" s="15">
        <f>F58*E60</f>
        <v>31.84</v>
      </c>
      <c r="G60" s="16"/>
      <c r="H60" s="16">
        <f>G60*F60</f>
        <v>0</v>
      </c>
      <c r="I60" s="68"/>
      <c r="J60" s="68"/>
      <c r="K60" s="68"/>
      <c r="L60" s="68"/>
      <c r="M60" s="68">
        <f t="shared" ref="M60:M61" si="7">L60+J60+H60</f>
        <v>0</v>
      </c>
      <c r="N60" s="70"/>
      <c r="O60" s="70"/>
    </row>
    <row r="61" spans="1:15" s="24" customFormat="1" ht="16.2" x14ac:dyDescent="0.3">
      <c r="A61" s="71"/>
      <c r="B61" s="12"/>
      <c r="C61" s="13" t="s">
        <v>52</v>
      </c>
      <c r="D61" s="14" t="s">
        <v>58</v>
      </c>
      <c r="E61" s="12">
        <f>11/1000</f>
        <v>1.0999999999999999E-2</v>
      </c>
      <c r="F61" s="15">
        <f>E61*F57</f>
        <v>4.3780000000000001</v>
      </c>
      <c r="G61" s="16"/>
      <c r="H61" s="16">
        <f>F61*G61</f>
        <v>0</v>
      </c>
      <c r="I61" s="68"/>
      <c r="J61" s="68"/>
      <c r="K61" s="68"/>
      <c r="L61" s="68"/>
      <c r="M61" s="68">
        <f t="shared" si="7"/>
        <v>0</v>
      </c>
      <c r="N61" s="69"/>
      <c r="O61" s="70"/>
    </row>
    <row r="62" spans="1:15" s="3" customFormat="1" x14ac:dyDescent="0.3">
      <c r="B62" s="5">
        <f>MAX($B$25:B61)+1</f>
        <v>12</v>
      </c>
      <c r="C62" s="23" t="s">
        <v>59</v>
      </c>
      <c r="D62" s="6" t="s">
        <v>60</v>
      </c>
      <c r="E62" s="6"/>
      <c r="F62" s="122">
        <v>398</v>
      </c>
      <c r="G62" s="8"/>
      <c r="H62" s="9"/>
      <c r="I62" s="10"/>
      <c r="J62" s="9"/>
      <c r="K62" s="10"/>
      <c r="L62" s="9"/>
      <c r="M62" s="11"/>
    </row>
    <row r="63" spans="1:15" s="24" customFormat="1" ht="15" x14ac:dyDescent="0.3">
      <c r="A63" s="71"/>
      <c r="B63" s="12"/>
      <c r="C63" s="13" t="s">
        <v>61</v>
      </c>
      <c r="D63" s="14" t="s">
        <v>55</v>
      </c>
      <c r="E63" s="12">
        <v>1</v>
      </c>
      <c r="F63" s="15">
        <f>E63*F62</f>
        <v>398</v>
      </c>
      <c r="G63" s="16"/>
      <c r="H63" s="16"/>
      <c r="I63" s="68"/>
      <c r="J63" s="68">
        <f>F63*I63</f>
        <v>0</v>
      </c>
      <c r="K63" s="68"/>
      <c r="L63" s="68"/>
      <c r="M63" s="68">
        <f>H63+J63+L63</f>
        <v>0</v>
      </c>
      <c r="N63" s="43"/>
    </row>
    <row r="64" spans="1:15" s="24" customFormat="1" ht="15" x14ac:dyDescent="0.3">
      <c r="A64" s="71"/>
      <c r="B64" s="12"/>
      <c r="C64" s="13" t="s">
        <v>62</v>
      </c>
      <c r="D64" s="14" t="s">
        <v>43</v>
      </c>
      <c r="E64" s="12">
        <v>8.6999999999999994E-2</v>
      </c>
      <c r="F64" s="15">
        <f>E64*F62</f>
        <v>34.625999999999998</v>
      </c>
      <c r="G64" s="16"/>
      <c r="H64" s="16"/>
      <c r="I64" s="68"/>
      <c r="J64" s="68"/>
      <c r="K64" s="68"/>
      <c r="L64" s="68">
        <f>F64*K64</f>
        <v>0</v>
      </c>
      <c r="M64" s="68">
        <f t="shared" ref="M64:M67" si="8">H64+J64+L64</f>
        <v>0</v>
      </c>
      <c r="N64" s="70"/>
    </row>
    <row r="65" spans="1:17" s="24" customFormat="1" ht="15" x14ac:dyDescent="0.3">
      <c r="A65" s="71"/>
      <c r="B65" s="12"/>
      <c r="C65" s="13" t="s">
        <v>63</v>
      </c>
      <c r="D65" s="14" t="s">
        <v>60</v>
      </c>
      <c r="E65" s="12">
        <v>1.05</v>
      </c>
      <c r="F65" s="15">
        <f>E65*F62</f>
        <v>417.90000000000003</v>
      </c>
      <c r="G65" s="16"/>
      <c r="H65" s="16">
        <f>F65*G65</f>
        <v>0</v>
      </c>
      <c r="I65" s="68"/>
      <c r="J65" s="68"/>
      <c r="K65" s="68"/>
      <c r="L65" s="68"/>
      <c r="M65" s="68">
        <f t="shared" si="8"/>
        <v>0</v>
      </c>
      <c r="N65" s="70"/>
    </row>
    <row r="66" spans="1:17" s="24" customFormat="1" ht="15" x14ac:dyDescent="0.3">
      <c r="A66" s="71"/>
      <c r="B66" s="12"/>
      <c r="C66" s="13" t="s">
        <v>64</v>
      </c>
      <c r="D66" s="14" t="s">
        <v>65</v>
      </c>
      <c r="E66" s="12">
        <v>4.3E-3</v>
      </c>
      <c r="F66" s="15">
        <f>E66*F62</f>
        <v>1.7114</v>
      </c>
      <c r="G66" s="16"/>
      <c r="H66" s="16">
        <f>F66*G66</f>
        <v>0</v>
      </c>
      <c r="I66" s="68"/>
      <c r="J66" s="68"/>
      <c r="K66" s="68"/>
      <c r="L66" s="68"/>
      <c r="M66" s="68">
        <f t="shared" si="8"/>
        <v>0</v>
      </c>
      <c r="N66" s="70"/>
    </row>
    <row r="67" spans="1:17" s="24" customFormat="1" ht="15" x14ac:dyDescent="0.3">
      <c r="A67" s="71"/>
      <c r="B67" s="12"/>
      <c r="C67" s="13" t="s">
        <v>66</v>
      </c>
      <c r="D67" s="14" t="s">
        <v>43</v>
      </c>
      <c r="E67" s="12">
        <v>3.0000000000000001E-3</v>
      </c>
      <c r="F67" s="15">
        <f>E67*F62</f>
        <v>1.194</v>
      </c>
      <c r="G67" s="16"/>
      <c r="H67" s="16">
        <f>F67*G67</f>
        <v>0</v>
      </c>
      <c r="I67" s="68"/>
      <c r="J67" s="68"/>
      <c r="K67" s="68"/>
      <c r="L67" s="68"/>
      <c r="M67" s="68">
        <f t="shared" si="8"/>
        <v>0</v>
      </c>
      <c r="N67" s="70"/>
    </row>
    <row r="68" spans="1:17" s="25" customFormat="1" x14ac:dyDescent="0.3">
      <c r="B68" s="5">
        <f>MAX($B$25:B67)+1</f>
        <v>13</v>
      </c>
      <c r="C68" s="67" t="s">
        <v>40</v>
      </c>
      <c r="D68" s="6" t="s">
        <v>41</v>
      </c>
      <c r="E68" s="6"/>
      <c r="F68" s="7">
        <v>327</v>
      </c>
      <c r="G68" s="8"/>
      <c r="H68" s="9"/>
      <c r="I68" s="10"/>
      <c r="J68" s="9"/>
      <c r="K68" s="10"/>
      <c r="L68" s="9"/>
      <c r="M68" s="11"/>
      <c r="N68" s="46"/>
    </row>
    <row r="69" spans="1:17" s="25" customFormat="1" x14ac:dyDescent="0.3">
      <c r="B69" s="12"/>
      <c r="C69" s="13" t="s">
        <v>24</v>
      </c>
      <c r="D69" s="14" t="s">
        <v>41</v>
      </c>
      <c r="E69" s="12">
        <v>1</v>
      </c>
      <c r="F69" s="15">
        <f>F68*E69</f>
        <v>327</v>
      </c>
      <c r="G69" s="16"/>
      <c r="H69" s="16"/>
      <c r="I69" s="16"/>
      <c r="J69" s="66">
        <f>F69*I69</f>
        <v>0</v>
      </c>
      <c r="K69" s="16"/>
      <c r="L69" s="16"/>
      <c r="M69" s="66">
        <f>J69</f>
        <v>0</v>
      </c>
      <c r="N69" s="46"/>
    </row>
    <row r="70" spans="1:17" s="25" customFormat="1" x14ac:dyDescent="0.3">
      <c r="B70" s="12"/>
      <c r="C70" s="13" t="s">
        <v>42</v>
      </c>
      <c r="D70" s="14" t="s">
        <v>43</v>
      </c>
      <c r="E70" s="12">
        <v>7.1000000000000004E-3</v>
      </c>
      <c r="F70" s="15">
        <f>F68*E70</f>
        <v>2.3217000000000003</v>
      </c>
      <c r="G70" s="16"/>
      <c r="H70" s="16"/>
      <c r="I70" s="16"/>
      <c r="J70" s="16"/>
      <c r="K70" s="16"/>
      <c r="L70" s="16">
        <f>F70*K70</f>
        <v>0</v>
      </c>
      <c r="M70" s="16">
        <f>L70</f>
        <v>0</v>
      </c>
      <c r="N70" s="46"/>
      <c r="Q70" s="123"/>
    </row>
    <row r="71" spans="1:17" s="3" customFormat="1" ht="13.8" x14ac:dyDescent="0.3">
      <c r="B71" s="12"/>
      <c r="C71" s="13" t="s">
        <v>44</v>
      </c>
      <c r="D71" s="14" t="s">
        <v>41</v>
      </c>
      <c r="E71" s="12">
        <v>1</v>
      </c>
      <c r="F71" s="15">
        <f>F68*E71</f>
        <v>327</v>
      </c>
      <c r="G71" s="16"/>
      <c r="H71" s="16">
        <f>F71*G71</f>
        <v>0</v>
      </c>
      <c r="I71" s="16"/>
      <c r="J71" s="16"/>
      <c r="K71" s="16"/>
      <c r="L71" s="16"/>
      <c r="M71" s="16">
        <f>H71</f>
        <v>0</v>
      </c>
      <c r="N71" s="47"/>
    </row>
    <row r="72" spans="1:17" s="25" customFormat="1" ht="15" x14ac:dyDescent="0.3">
      <c r="B72" s="12"/>
      <c r="C72" s="13" t="s">
        <v>45</v>
      </c>
      <c r="D72" s="14" t="s">
        <v>23</v>
      </c>
      <c r="E72" s="12">
        <v>5.8999999999999997E-2</v>
      </c>
      <c r="F72" s="15">
        <f>F68*E72</f>
        <v>19.292999999999999</v>
      </c>
      <c r="G72" s="17"/>
      <c r="H72" s="16">
        <f>F72*G72</f>
        <v>0</v>
      </c>
      <c r="I72" s="16"/>
      <c r="J72" s="16"/>
      <c r="K72" s="16"/>
      <c r="L72" s="16"/>
      <c r="M72" s="16">
        <f>H72</f>
        <v>0</v>
      </c>
      <c r="N72" s="46"/>
    </row>
    <row r="73" spans="1:17" s="25" customFormat="1" x14ac:dyDescent="0.3">
      <c r="B73" s="12"/>
      <c r="C73" s="13" t="s">
        <v>46</v>
      </c>
      <c r="D73" s="14" t="s">
        <v>23</v>
      </c>
      <c r="E73" s="12">
        <v>5.9999999999999995E-4</v>
      </c>
      <c r="F73" s="15">
        <f>F68*E73</f>
        <v>0.19619999999999999</v>
      </c>
      <c r="G73" s="16"/>
      <c r="H73" s="16">
        <f>F73*G73</f>
        <v>0</v>
      </c>
      <c r="I73" s="16"/>
      <c r="J73" s="66"/>
      <c r="K73" s="16"/>
      <c r="L73" s="16"/>
      <c r="M73" s="66">
        <f>H73</f>
        <v>0</v>
      </c>
      <c r="N73" s="46"/>
    </row>
    <row r="74" spans="1:17" s="64" customFormat="1" ht="15" x14ac:dyDescent="0.3">
      <c r="A74" s="65"/>
      <c r="B74" s="12"/>
      <c r="C74" s="13" t="s">
        <v>47</v>
      </c>
      <c r="D74" s="14" t="s">
        <v>43</v>
      </c>
      <c r="E74" s="12">
        <v>9.6000000000000002E-2</v>
      </c>
      <c r="F74" s="15">
        <f>F68*E74</f>
        <v>31.391999999999999</v>
      </c>
      <c r="G74" s="16"/>
      <c r="H74" s="16">
        <f>F74*G74</f>
        <v>0</v>
      </c>
      <c r="I74" s="68"/>
      <c r="J74" s="68"/>
      <c r="K74" s="68"/>
      <c r="L74" s="68"/>
      <c r="M74" s="68">
        <f>H74</f>
        <v>0</v>
      </c>
    </row>
    <row r="75" spans="1:17" s="25" customFormat="1" ht="15" x14ac:dyDescent="0.3">
      <c r="B75" s="36"/>
      <c r="C75" s="36" t="s">
        <v>67</v>
      </c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49"/>
      <c r="O75" s="64"/>
    </row>
    <row r="76" spans="1:17" s="3" customFormat="1" ht="15" x14ac:dyDescent="0.3">
      <c r="B76" s="5">
        <f>MAX($B$25:B75)+1</f>
        <v>14</v>
      </c>
      <c r="C76" s="23" t="s">
        <v>68</v>
      </c>
      <c r="D76" s="6" t="s">
        <v>23</v>
      </c>
      <c r="E76" s="6"/>
      <c r="F76" s="7">
        <f>199*0.15</f>
        <v>29.849999999999998</v>
      </c>
      <c r="G76" s="8"/>
      <c r="H76" s="9"/>
      <c r="I76" s="10"/>
      <c r="J76" s="9"/>
      <c r="K76" s="10"/>
      <c r="L76" s="9"/>
      <c r="M76" s="11"/>
      <c r="N76" s="43"/>
      <c r="O76" s="64"/>
    </row>
    <row r="77" spans="1:17" s="24" customFormat="1" ht="15" x14ac:dyDescent="0.3">
      <c r="A77" s="71"/>
      <c r="B77" s="12"/>
      <c r="C77" s="13" t="s">
        <v>24</v>
      </c>
      <c r="D77" s="14" t="s">
        <v>23</v>
      </c>
      <c r="E77" s="12">
        <v>1</v>
      </c>
      <c r="F77" s="15">
        <f>F76*E77</f>
        <v>29.849999999999998</v>
      </c>
      <c r="G77" s="16"/>
      <c r="H77" s="16"/>
      <c r="I77" s="68"/>
      <c r="J77" s="68">
        <f>I77*F77</f>
        <v>0</v>
      </c>
      <c r="K77" s="68"/>
      <c r="L77" s="68"/>
      <c r="M77" s="68">
        <f>L77+J77+H77</f>
        <v>0</v>
      </c>
      <c r="N77" s="70"/>
      <c r="O77" s="64"/>
    </row>
    <row r="78" spans="1:17" s="24" customFormat="1" ht="15" x14ac:dyDescent="0.3">
      <c r="A78" s="71"/>
      <c r="B78" s="12"/>
      <c r="C78" s="13" t="s">
        <v>42</v>
      </c>
      <c r="D78" s="14" t="s">
        <v>57</v>
      </c>
      <c r="E78" s="12">
        <v>0.27900000000000003</v>
      </c>
      <c r="F78" s="15">
        <f>E78*F76</f>
        <v>8.3281500000000008</v>
      </c>
      <c r="G78" s="16"/>
      <c r="H78" s="16"/>
      <c r="I78" s="68"/>
      <c r="J78" s="68"/>
      <c r="K78" s="68"/>
      <c r="L78" s="68">
        <f t="shared" ref="L78" si="9">F78*K78</f>
        <v>0</v>
      </c>
      <c r="M78" s="68">
        <f t="shared" ref="M78:M79" si="10">L78+J78+H78</f>
        <v>0</v>
      </c>
      <c r="N78" s="70"/>
      <c r="O78" s="64"/>
    </row>
    <row r="79" spans="1:17" s="24" customFormat="1" ht="15" x14ac:dyDescent="0.3">
      <c r="A79" s="71"/>
      <c r="B79" s="12"/>
      <c r="C79" s="13" t="s">
        <v>26</v>
      </c>
      <c r="D79" s="14" t="s">
        <v>27</v>
      </c>
      <c r="E79" s="12">
        <v>1.26</v>
      </c>
      <c r="F79" s="15">
        <f>E79*F76</f>
        <v>37.610999999999997</v>
      </c>
      <c r="G79" s="16"/>
      <c r="H79" s="16">
        <f>F79*G79</f>
        <v>0</v>
      </c>
      <c r="I79" s="68"/>
      <c r="J79" s="68"/>
      <c r="K79" s="68"/>
      <c r="L79" s="68"/>
      <c r="M79" s="68">
        <f t="shared" si="10"/>
        <v>0</v>
      </c>
      <c r="N79" s="69"/>
      <c r="O79" s="64"/>
    </row>
    <row r="80" spans="1:17" s="3" customFormat="1" ht="15" x14ac:dyDescent="0.3">
      <c r="B80" s="5">
        <f>MAX($B$25:B79)+1</f>
        <v>15</v>
      </c>
      <c r="C80" s="23" t="s">
        <v>54</v>
      </c>
      <c r="D80" s="6" t="s">
        <v>55</v>
      </c>
      <c r="E80" s="6"/>
      <c r="F80" s="7">
        <v>199</v>
      </c>
      <c r="G80" s="8"/>
      <c r="H80" s="9"/>
      <c r="I80" s="10"/>
      <c r="J80" s="9"/>
      <c r="K80" s="10"/>
      <c r="L80" s="9"/>
      <c r="M80" s="11"/>
      <c r="O80" s="64"/>
    </row>
    <row r="81" spans="1:15" s="24" customFormat="1" ht="15" x14ac:dyDescent="0.3">
      <c r="A81" s="71"/>
      <c r="B81" s="12"/>
      <c r="C81" s="13" t="s">
        <v>24</v>
      </c>
      <c r="D81" s="14" t="s">
        <v>55</v>
      </c>
      <c r="E81" s="12">
        <v>1</v>
      </c>
      <c r="F81" s="15">
        <f>F80*E81</f>
        <v>199</v>
      </c>
      <c r="G81" s="16"/>
      <c r="H81" s="16"/>
      <c r="I81" s="68"/>
      <c r="J81" s="68">
        <f>F81*I81</f>
        <v>0</v>
      </c>
      <c r="K81" s="68"/>
      <c r="L81" s="68"/>
      <c r="M81" s="68">
        <f>H81+J81+L81</f>
        <v>0</v>
      </c>
      <c r="N81" s="43"/>
      <c r="O81" s="64"/>
    </row>
    <row r="82" spans="1:15" s="24" customFormat="1" ht="15" x14ac:dyDescent="0.3">
      <c r="A82" s="71"/>
      <c r="B82" s="12"/>
      <c r="C82" s="13" t="s">
        <v>56</v>
      </c>
      <c r="D82" s="14" t="s">
        <v>43</v>
      </c>
      <c r="E82" s="12">
        <v>0.02</v>
      </c>
      <c r="F82" s="15">
        <f>E82*F80</f>
        <v>3.98</v>
      </c>
      <c r="G82" s="16"/>
      <c r="H82" s="16"/>
      <c r="I82" s="68"/>
      <c r="J82" s="68"/>
      <c r="K82" s="68"/>
      <c r="L82" s="68">
        <f>F82*K82</f>
        <v>0</v>
      </c>
      <c r="M82" s="68">
        <f>L82*1</f>
        <v>0</v>
      </c>
      <c r="N82" s="70"/>
      <c r="O82" s="64"/>
    </row>
    <row r="83" spans="1:15" s="24" customFormat="1" ht="16.2" x14ac:dyDescent="0.3">
      <c r="A83" s="71"/>
      <c r="B83" s="12"/>
      <c r="C83" s="13" t="s">
        <v>29</v>
      </c>
      <c r="D83" s="14" t="s">
        <v>58</v>
      </c>
      <c r="E83" s="12">
        <v>0.08</v>
      </c>
      <c r="F83" s="15">
        <f>F81*E83</f>
        <v>15.92</v>
      </c>
      <c r="G83" s="16"/>
      <c r="H83" s="16">
        <f>G83*F83</f>
        <v>0</v>
      </c>
      <c r="I83" s="68"/>
      <c r="J83" s="68"/>
      <c r="K83" s="68"/>
      <c r="L83" s="68"/>
      <c r="M83" s="68">
        <f t="shared" ref="M83:M84" si="11">L83+J83+H83</f>
        <v>0</v>
      </c>
      <c r="N83" s="70"/>
      <c r="O83" s="64"/>
    </row>
    <row r="84" spans="1:15" s="24" customFormat="1" ht="16.2" x14ac:dyDescent="0.3">
      <c r="A84" s="71"/>
      <c r="B84" s="12"/>
      <c r="C84" s="13" t="s">
        <v>52</v>
      </c>
      <c r="D84" s="14" t="s">
        <v>58</v>
      </c>
      <c r="E84" s="12">
        <f>11/1000</f>
        <v>1.0999999999999999E-2</v>
      </c>
      <c r="F84" s="15">
        <f>E84*F80</f>
        <v>2.1890000000000001</v>
      </c>
      <c r="G84" s="16"/>
      <c r="H84" s="16">
        <f>F84*G84</f>
        <v>0</v>
      </c>
      <c r="I84" s="68"/>
      <c r="J84" s="68"/>
      <c r="K84" s="68"/>
      <c r="L84" s="68"/>
      <c r="M84" s="68">
        <f t="shared" si="11"/>
        <v>0</v>
      </c>
      <c r="N84" s="69"/>
      <c r="O84" s="64"/>
    </row>
    <row r="85" spans="1:15" s="3" customFormat="1" ht="15" x14ac:dyDescent="0.3">
      <c r="B85" s="5">
        <f>MAX($B$25:B84)+1</f>
        <v>16</v>
      </c>
      <c r="C85" s="23" t="s">
        <v>69</v>
      </c>
      <c r="D85" s="6" t="s">
        <v>60</v>
      </c>
      <c r="E85" s="6"/>
      <c r="F85" s="122">
        <v>199</v>
      </c>
      <c r="G85" s="8"/>
      <c r="H85" s="9"/>
      <c r="I85" s="10"/>
      <c r="J85" s="9"/>
      <c r="K85" s="10"/>
      <c r="L85" s="9"/>
      <c r="M85" s="11"/>
      <c r="O85" s="64"/>
    </row>
    <row r="86" spans="1:15" s="24" customFormat="1" ht="15" x14ac:dyDescent="0.3">
      <c r="A86" s="71"/>
      <c r="B86" s="12"/>
      <c r="C86" s="13" t="s">
        <v>61</v>
      </c>
      <c r="D86" s="14" t="s">
        <v>55</v>
      </c>
      <c r="E86" s="12">
        <v>0.998</v>
      </c>
      <c r="F86" s="15">
        <f>F85*E86</f>
        <v>198.602</v>
      </c>
      <c r="G86" s="16"/>
      <c r="H86" s="16"/>
      <c r="I86" s="68"/>
      <c r="J86" s="68">
        <f>F86*I86</f>
        <v>0</v>
      </c>
      <c r="K86" s="68"/>
      <c r="L86" s="68"/>
      <c r="M86" s="68">
        <f>H86+J86+L86</f>
        <v>0</v>
      </c>
      <c r="N86" s="43"/>
      <c r="O86" s="64"/>
    </row>
    <row r="87" spans="1:15" s="24" customFormat="1" ht="15" x14ac:dyDescent="0.3">
      <c r="A87" s="71"/>
      <c r="B87" s="12"/>
      <c r="C87" s="13" t="s">
        <v>62</v>
      </c>
      <c r="D87" s="14" t="s">
        <v>43</v>
      </c>
      <c r="E87" s="12">
        <v>8.6999999999999994E-2</v>
      </c>
      <c r="F87" s="15">
        <f>E87*F85</f>
        <v>17.312999999999999</v>
      </c>
      <c r="G87" s="16"/>
      <c r="H87" s="16"/>
      <c r="I87" s="68"/>
      <c r="J87" s="68"/>
      <c r="K87" s="68"/>
      <c r="L87" s="68">
        <f>F87*K87</f>
        <v>0</v>
      </c>
      <c r="M87" s="68">
        <f t="shared" ref="M87:M90" si="12">H87+J87+L87</f>
        <v>0</v>
      </c>
      <c r="N87" s="70"/>
      <c r="O87" s="64"/>
    </row>
    <row r="88" spans="1:15" s="24" customFormat="1" ht="15" x14ac:dyDescent="0.3">
      <c r="A88" s="71"/>
      <c r="B88" s="12"/>
      <c r="C88" s="13" t="s">
        <v>63</v>
      </c>
      <c r="D88" s="14" t="s">
        <v>60</v>
      </c>
      <c r="E88" s="12">
        <v>1.05</v>
      </c>
      <c r="F88" s="15">
        <f>E88*F85</f>
        <v>208.95000000000002</v>
      </c>
      <c r="G88" s="16"/>
      <c r="H88" s="16">
        <f>F88*G88</f>
        <v>0</v>
      </c>
      <c r="I88" s="68"/>
      <c r="J88" s="68"/>
      <c r="K88" s="68"/>
      <c r="L88" s="68"/>
      <c r="M88" s="68">
        <f t="shared" si="12"/>
        <v>0</v>
      </c>
      <c r="N88" s="70"/>
    </row>
    <row r="89" spans="1:15" s="24" customFormat="1" ht="15" x14ac:dyDescent="0.3">
      <c r="A89" s="71"/>
      <c r="B89" s="12"/>
      <c r="C89" s="13" t="s">
        <v>64</v>
      </c>
      <c r="D89" s="14" t="s">
        <v>65</v>
      </c>
      <c r="E89" s="12">
        <v>4.3E-3</v>
      </c>
      <c r="F89" s="15">
        <f>E89*F85</f>
        <v>0.85570000000000002</v>
      </c>
      <c r="G89" s="16"/>
      <c r="H89" s="16">
        <f>F89*G89</f>
        <v>0</v>
      </c>
      <c r="I89" s="68"/>
      <c r="J89" s="68"/>
      <c r="K89" s="68"/>
      <c r="L89" s="68"/>
      <c r="M89" s="68">
        <f t="shared" si="12"/>
        <v>0</v>
      </c>
      <c r="N89" s="70"/>
    </row>
    <row r="90" spans="1:15" s="24" customFormat="1" ht="15" x14ac:dyDescent="0.3">
      <c r="A90" s="71"/>
      <c r="B90" s="12"/>
      <c r="C90" s="13" t="s">
        <v>66</v>
      </c>
      <c r="D90" s="14" t="s">
        <v>43</v>
      </c>
      <c r="E90" s="12">
        <v>3.0000000000000001E-3</v>
      </c>
      <c r="F90" s="15">
        <f>E90*F85</f>
        <v>0.59699999999999998</v>
      </c>
      <c r="G90" s="16"/>
      <c r="H90" s="16">
        <f>F90*G90</f>
        <v>0</v>
      </c>
      <c r="I90" s="68"/>
      <c r="J90" s="68"/>
      <c r="K90" s="68"/>
      <c r="L90" s="68"/>
      <c r="M90" s="68">
        <f t="shared" si="12"/>
        <v>0</v>
      </c>
      <c r="N90" s="70"/>
    </row>
    <row r="91" spans="1:15" s="25" customFormat="1" x14ac:dyDescent="0.3">
      <c r="B91" s="5">
        <f>MAX($B$25:B90)+1</f>
        <v>17</v>
      </c>
      <c r="C91" s="67" t="s">
        <v>40</v>
      </c>
      <c r="D91" s="6" t="s">
        <v>41</v>
      </c>
      <c r="E91" s="6"/>
      <c r="F91" s="7">
        <v>166</v>
      </c>
      <c r="G91" s="8"/>
      <c r="H91" s="9"/>
      <c r="I91" s="10"/>
      <c r="J91" s="9"/>
      <c r="K91" s="10"/>
      <c r="L91" s="9"/>
      <c r="M91" s="11"/>
      <c r="N91" s="46"/>
    </row>
    <row r="92" spans="1:15" s="25" customFormat="1" x14ac:dyDescent="0.3">
      <c r="B92" s="12"/>
      <c r="C92" s="13" t="s">
        <v>24</v>
      </c>
      <c r="D92" s="14" t="s">
        <v>41</v>
      </c>
      <c r="E92" s="12">
        <v>1</v>
      </c>
      <c r="F92" s="15">
        <f>F91*E92</f>
        <v>166</v>
      </c>
      <c r="G92" s="16"/>
      <c r="H92" s="16"/>
      <c r="I92" s="16"/>
      <c r="J92" s="66">
        <f>F92*I92</f>
        <v>0</v>
      </c>
      <c r="K92" s="16"/>
      <c r="L92" s="16"/>
      <c r="M92" s="66">
        <f>J92</f>
        <v>0</v>
      </c>
      <c r="N92" s="46"/>
    </row>
    <row r="93" spans="1:15" s="25" customFormat="1" x14ac:dyDescent="0.3">
      <c r="B93" s="12"/>
      <c r="C93" s="13" t="s">
        <v>42</v>
      </c>
      <c r="D93" s="14" t="s">
        <v>43</v>
      </c>
      <c r="E93" s="12">
        <v>7.1000000000000004E-3</v>
      </c>
      <c r="F93" s="15">
        <f>F91*E93</f>
        <v>1.1786000000000001</v>
      </c>
      <c r="G93" s="16"/>
      <c r="H93" s="16"/>
      <c r="I93" s="16"/>
      <c r="J93" s="16"/>
      <c r="K93" s="16"/>
      <c r="L93" s="16">
        <f>F93*K93</f>
        <v>0</v>
      </c>
      <c r="M93" s="16">
        <f>L93</f>
        <v>0</v>
      </c>
      <c r="N93" s="46"/>
    </row>
    <row r="94" spans="1:15" s="3" customFormat="1" ht="13.8" x14ac:dyDescent="0.3">
      <c r="B94" s="12"/>
      <c r="C94" s="13" t="s">
        <v>44</v>
      </c>
      <c r="D94" s="14" t="s">
        <v>41</v>
      </c>
      <c r="E94" s="12">
        <v>1</v>
      </c>
      <c r="F94" s="15">
        <f>F91*E94</f>
        <v>166</v>
      </c>
      <c r="G94" s="16"/>
      <c r="H94" s="16">
        <f>F94*G94</f>
        <v>0</v>
      </c>
      <c r="I94" s="16"/>
      <c r="J94" s="16"/>
      <c r="K94" s="16"/>
      <c r="L94" s="16"/>
      <c r="M94" s="16">
        <f>H94</f>
        <v>0</v>
      </c>
      <c r="N94" s="47"/>
    </row>
    <row r="95" spans="1:15" s="25" customFormat="1" ht="15" x14ac:dyDescent="0.3">
      <c r="B95" s="12"/>
      <c r="C95" s="13" t="s">
        <v>45</v>
      </c>
      <c r="D95" s="14" t="s">
        <v>23</v>
      </c>
      <c r="E95" s="12">
        <v>5.8999999999999997E-2</v>
      </c>
      <c r="F95" s="15">
        <f>F91*E95</f>
        <v>9.7939999999999987</v>
      </c>
      <c r="G95" s="17"/>
      <c r="H95" s="16">
        <f>F95*G95</f>
        <v>0</v>
      </c>
      <c r="I95" s="16"/>
      <c r="J95" s="16"/>
      <c r="K95" s="16"/>
      <c r="L95" s="16"/>
      <c r="M95" s="16">
        <f>H95</f>
        <v>0</v>
      </c>
      <c r="N95" s="46"/>
    </row>
    <row r="96" spans="1:15" s="25" customFormat="1" x14ac:dyDescent="0.3">
      <c r="B96" s="12"/>
      <c r="C96" s="13" t="s">
        <v>46</v>
      </c>
      <c r="D96" s="14" t="s">
        <v>23</v>
      </c>
      <c r="E96" s="12">
        <v>5.9999999999999995E-4</v>
      </c>
      <c r="F96" s="15">
        <f>F91*E96</f>
        <v>9.9599999999999994E-2</v>
      </c>
      <c r="G96" s="16"/>
      <c r="H96" s="16">
        <f>F96*G96</f>
        <v>0</v>
      </c>
      <c r="I96" s="16"/>
      <c r="J96" s="66"/>
      <c r="K96" s="16"/>
      <c r="L96" s="16"/>
      <c r="M96" s="66">
        <f>H96</f>
        <v>0</v>
      </c>
      <c r="N96" s="46"/>
    </row>
    <row r="97" spans="1:25" s="64" customFormat="1" ht="15" x14ac:dyDescent="0.3">
      <c r="A97" s="65"/>
      <c r="B97" s="12"/>
      <c r="C97" s="13" t="s">
        <v>47</v>
      </c>
      <c r="D97" s="14" t="s">
        <v>43</v>
      </c>
      <c r="E97" s="12">
        <v>9.6000000000000002E-2</v>
      </c>
      <c r="F97" s="15">
        <f>F91*E97</f>
        <v>15.936</v>
      </c>
      <c r="G97" s="16"/>
      <c r="H97" s="16">
        <f>F97*G97</f>
        <v>0</v>
      </c>
      <c r="I97" s="68"/>
      <c r="J97" s="68"/>
      <c r="K97" s="68"/>
      <c r="L97" s="68"/>
      <c r="M97" s="68">
        <f>H97</f>
        <v>0</v>
      </c>
    </row>
    <row r="98" spans="1:25" s="25" customFormat="1" x14ac:dyDescent="0.3">
      <c r="B98" s="36"/>
      <c r="C98" s="36" t="s">
        <v>178</v>
      </c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49"/>
      <c r="O98" s="27"/>
    </row>
    <row r="99" spans="1:25" s="3" customFormat="1" x14ac:dyDescent="0.3">
      <c r="B99" s="5">
        <f>MAX($B$25:B98)+1</f>
        <v>18</v>
      </c>
      <c r="C99" s="23" t="s">
        <v>22</v>
      </c>
      <c r="D99" s="6" t="s">
        <v>23</v>
      </c>
      <c r="E99" s="6"/>
      <c r="F99" s="7">
        <f>979*0.15</f>
        <v>146.85</v>
      </c>
      <c r="G99" s="8"/>
      <c r="H99" s="9"/>
      <c r="I99" s="10"/>
      <c r="J99" s="9"/>
      <c r="K99" s="10"/>
      <c r="L99" s="9"/>
      <c r="M99" s="11"/>
      <c r="N99" s="43"/>
    </row>
    <row r="100" spans="1:25" s="24" customFormat="1" ht="15" x14ac:dyDescent="0.3">
      <c r="A100" s="71"/>
      <c r="B100" s="12"/>
      <c r="C100" s="13" t="s">
        <v>24</v>
      </c>
      <c r="D100" s="14" t="s">
        <v>23</v>
      </c>
      <c r="E100" s="12">
        <v>1</v>
      </c>
      <c r="F100" s="15">
        <f>F99*E100</f>
        <v>146.85</v>
      </c>
      <c r="G100" s="16"/>
      <c r="H100" s="16"/>
      <c r="I100" s="68"/>
      <c r="J100" s="68">
        <f>I100*F100</f>
        <v>0</v>
      </c>
      <c r="K100" s="68"/>
      <c r="L100" s="68"/>
      <c r="M100" s="68">
        <f>L100+J100+H100</f>
        <v>0</v>
      </c>
      <c r="N100" s="70"/>
    </row>
    <row r="101" spans="1:25" s="24" customFormat="1" ht="15" x14ac:dyDescent="0.3">
      <c r="A101" s="71"/>
      <c r="B101" s="12"/>
      <c r="C101" s="13" t="s">
        <v>42</v>
      </c>
      <c r="D101" s="14" t="s">
        <v>25</v>
      </c>
      <c r="E101" s="12">
        <v>2.7900000000000001E-2</v>
      </c>
      <c r="F101" s="15">
        <f>E101*F99</f>
        <v>4.0971149999999996</v>
      </c>
      <c r="G101" s="16"/>
      <c r="H101" s="16"/>
      <c r="I101" s="68"/>
      <c r="J101" s="68"/>
      <c r="K101" s="68"/>
      <c r="L101" s="68">
        <f>F101*K101</f>
        <v>0</v>
      </c>
      <c r="M101" s="68">
        <f t="shared" ref="M101:M102" si="13">L101+J101+H101</f>
        <v>0</v>
      </c>
      <c r="N101" s="70"/>
    </row>
    <row r="102" spans="1:25" s="24" customFormat="1" ht="15" x14ac:dyDescent="0.3">
      <c r="A102" s="71"/>
      <c r="B102" s="12"/>
      <c r="C102" s="13" t="s">
        <v>26</v>
      </c>
      <c r="D102" s="14" t="s">
        <v>23</v>
      </c>
      <c r="E102" s="12">
        <v>1.26</v>
      </c>
      <c r="F102" s="15">
        <f>E102*F99</f>
        <v>185.03100000000001</v>
      </c>
      <c r="G102" s="16"/>
      <c r="H102" s="16">
        <f>F102*G102</f>
        <v>0</v>
      </c>
      <c r="I102" s="68"/>
      <c r="J102" s="68"/>
      <c r="K102" s="68"/>
      <c r="L102" s="68"/>
      <c r="M102" s="68">
        <f t="shared" si="13"/>
        <v>0</v>
      </c>
      <c r="N102" s="69"/>
      <c r="O102" s="70"/>
    </row>
    <row r="103" spans="1:25" s="3" customFormat="1" ht="27.6" x14ac:dyDescent="0.3">
      <c r="B103" s="5">
        <f>MAX($B$25:B102)+1</f>
        <v>19</v>
      </c>
      <c r="C103" s="67" t="s">
        <v>70</v>
      </c>
      <c r="D103" s="6" t="s">
        <v>55</v>
      </c>
      <c r="E103" s="6"/>
      <c r="F103" s="7">
        <v>979</v>
      </c>
      <c r="G103" s="8"/>
      <c r="H103" s="9"/>
      <c r="I103" s="10"/>
      <c r="J103" s="9"/>
      <c r="K103" s="10"/>
      <c r="L103" s="9"/>
      <c r="M103" s="11"/>
      <c r="N103" s="43"/>
      <c r="O103" s="24"/>
    </row>
    <row r="104" spans="1:25" s="24" customFormat="1" x14ac:dyDescent="0.3">
      <c r="B104" s="12"/>
      <c r="C104" s="13" t="s">
        <v>24</v>
      </c>
      <c r="D104" s="14" t="s">
        <v>55</v>
      </c>
      <c r="E104" s="12">
        <v>1</v>
      </c>
      <c r="F104" s="15">
        <f>F103*E104</f>
        <v>979</v>
      </c>
      <c r="G104" s="16"/>
      <c r="H104" s="16"/>
      <c r="I104" s="17"/>
      <c r="J104" s="16">
        <f>F104*I104</f>
        <v>0</v>
      </c>
      <c r="K104" s="16"/>
      <c r="L104" s="16"/>
      <c r="M104" s="16">
        <f>J104</f>
        <v>0</v>
      </c>
      <c r="N104" s="45"/>
      <c r="O104" s="3"/>
      <c r="P104" s="3"/>
    </row>
    <row r="105" spans="1:25" s="24" customFormat="1" ht="15" customHeight="1" x14ac:dyDescent="0.3">
      <c r="B105" s="12"/>
      <c r="C105" s="13" t="s">
        <v>42</v>
      </c>
      <c r="D105" s="14" t="s">
        <v>25</v>
      </c>
      <c r="E105" s="12">
        <v>0.12</v>
      </c>
      <c r="F105" s="15">
        <f>F103*E105</f>
        <v>117.47999999999999</v>
      </c>
      <c r="G105" s="16"/>
      <c r="H105" s="16"/>
      <c r="I105" s="16"/>
      <c r="J105" s="16"/>
      <c r="K105" s="16"/>
      <c r="L105" s="16">
        <f>F105*K105</f>
        <v>0</v>
      </c>
      <c r="M105" s="16">
        <f>L105</f>
        <v>0</v>
      </c>
      <c r="N105" s="45"/>
    </row>
    <row r="106" spans="1:25" s="73" customFormat="1" ht="17.25" customHeight="1" x14ac:dyDescent="0.3">
      <c r="A106" s="80"/>
      <c r="B106" s="79"/>
      <c r="C106" s="13" t="s">
        <v>184</v>
      </c>
      <c r="D106" s="14" t="s">
        <v>71</v>
      </c>
      <c r="E106" s="12">
        <v>1.05</v>
      </c>
      <c r="F106" s="15">
        <f>1280*E106</f>
        <v>1344</v>
      </c>
      <c r="G106" s="75"/>
      <c r="H106" s="16">
        <f>G106*F106</f>
        <v>0</v>
      </c>
      <c r="I106" s="16"/>
      <c r="J106" s="16"/>
      <c r="K106" s="16"/>
      <c r="L106" s="16"/>
      <c r="M106" s="16">
        <f>L106+J106+H106</f>
        <v>0</v>
      </c>
      <c r="N106" s="74"/>
      <c r="P106" s="72"/>
    </row>
    <row r="107" spans="1:25" s="24" customFormat="1" x14ac:dyDescent="0.3">
      <c r="B107" s="12"/>
      <c r="C107" s="13" t="s">
        <v>29</v>
      </c>
      <c r="D107" s="14" t="s">
        <v>23</v>
      </c>
      <c r="E107" s="12">
        <f>1.02*80%</f>
        <v>0.81600000000000006</v>
      </c>
      <c r="F107" s="15">
        <f>F103*E107</f>
        <v>798.86400000000003</v>
      </c>
      <c r="G107" s="16"/>
      <c r="H107" s="16">
        <f>F107*G107</f>
        <v>0</v>
      </c>
      <c r="I107" s="16"/>
      <c r="J107" s="16"/>
      <c r="K107" s="16"/>
      <c r="L107" s="16"/>
      <c r="M107" s="16">
        <f>H107</f>
        <v>0</v>
      </c>
      <c r="N107" s="63"/>
    </row>
    <row r="108" spans="1:25" s="24" customFormat="1" ht="13.5" customHeight="1" x14ac:dyDescent="0.3">
      <c r="B108" s="12"/>
      <c r="C108" s="13" t="s">
        <v>30</v>
      </c>
      <c r="D108" s="14" t="s">
        <v>31</v>
      </c>
      <c r="E108" s="12">
        <f>1.03*1.5*10%</f>
        <v>0.1545</v>
      </c>
      <c r="F108" s="15">
        <f>F103*E108</f>
        <v>151.25550000000001</v>
      </c>
      <c r="G108" s="16"/>
      <c r="H108" s="16">
        <f>F108*G108</f>
        <v>0</v>
      </c>
      <c r="I108" s="16"/>
      <c r="J108" s="16"/>
      <c r="K108" s="16"/>
      <c r="L108" s="16"/>
      <c r="M108" s="16">
        <f>H108</f>
        <v>0</v>
      </c>
      <c r="N108" s="45"/>
    </row>
    <row r="109" spans="1:25" s="25" customFormat="1" x14ac:dyDescent="0.3">
      <c r="B109" s="5">
        <f>MAX($B$25:B108)+1</f>
        <v>20</v>
      </c>
      <c r="C109" s="23" t="s">
        <v>177</v>
      </c>
      <c r="D109" s="6" t="s">
        <v>55</v>
      </c>
      <c r="E109" s="6"/>
      <c r="F109" s="7">
        <f>F103</f>
        <v>979</v>
      </c>
      <c r="G109" s="8"/>
      <c r="H109" s="9"/>
      <c r="I109" s="10"/>
      <c r="J109" s="9"/>
      <c r="K109" s="10"/>
      <c r="L109" s="9"/>
      <c r="M109" s="11"/>
      <c r="N109" s="46"/>
      <c r="Y109" s="25">
        <f t="shared" ref="Y109:Y114" si="14">X109-M109</f>
        <v>0</v>
      </c>
    </row>
    <row r="110" spans="1:25" s="25" customFormat="1" x14ac:dyDescent="0.3">
      <c r="B110" s="12"/>
      <c r="C110" s="13" t="s">
        <v>61</v>
      </c>
      <c r="D110" s="14" t="s">
        <v>55</v>
      </c>
      <c r="E110" s="12">
        <v>1</v>
      </c>
      <c r="F110" s="15">
        <f>F109*E110</f>
        <v>979</v>
      </c>
      <c r="G110" s="16"/>
      <c r="H110" s="16"/>
      <c r="I110" s="16"/>
      <c r="J110" s="16">
        <f>F110*I110</f>
        <v>0</v>
      </c>
      <c r="K110" s="16"/>
      <c r="L110" s="16"/>
      <c r="M110" s="16">
        <f>H110+J110+L110</f>
        <v>0</v>
      </c>
      <c r="N110" s="46"/>
      <c r="Y110" s="25">
        <f t="shared" si="14"/>
        <v>0</v>
      </c>
    </row>
    <row r="111" spans="1:25" s="24" customFormat="1" ht="13.5" customHeight="1" x14ac:dyDescent="0.3">
      <c r="B111" s="12"/>
      <c r="C111" s="13" t="s">
        <v>42</v>
      </c>
      <c r="D111" s="14" t="s">
        <v>43</v>
      </c>
      <c r="E111" s="12">
        <f>4.52/100</f>
        <v>4.5199999999999997E-2</v>
      </c>
      <c r="F111" s="15">
        <f>F109*E111</f>
        <v>44.250799999999998</v>
      </c>
      <c r="G111" s="16"/>
      <c r="H111" s="16"/>
      <c r="I111" s="16"/>
      <c r="J111" s="16"/>
      <c r="K111" s="16"/>
      <c r="L111" s="16">
        <f>F111*K111</f>
        <v>0</v>
      </c>
      <c r="M111" s="16">
        <f>L111</f>
        <v>0</v>
      </c>
      <c r="N111" s="45"/>
      <c r="Y111" s="24">
        <f t="shared" si="14"/>
        <v>0</v>
      </c>
    </row>
    <row r="112" spans="1:25" s="25" customFormat="1" x14ac:dyDescent="0.3">
      <c r="B112" s="12"/>
      <c r="C112" s="13" t="s">
        <v>44</v>
      </c>
      <c r="D112" s="14" t="s">
        <v>55</v>
      </c>
      <c r="E112" s="12">
        <f>102/100</f>
        <v>1.02</v>
      </c>
      <c r="F112" s="15">
        <f>E112*F109</f>
        <v>998.58</v>
      </c>
      <c r="G112" s="17"/>
      <c r="H112" s="16">
        <f>F112*G112</f>
        <v>0</v>
      </c>
      <c r="I112" s="16"/>
      <c r="J112" s="16"/>
      <c r="K112" s="16"/>
      <c r="L112" s="16"/>
      <c r="M112" s="16">
        <f>L112+J112+H112</f>
        <v>0</v>
      </c>
      <c r="N112" s="46"/>
      <c r="Y112" s="25">
        <f t="shared" si="14"/>
        <v>0</v>
      </c>
    </row>
    <row r="113" spans="1:25" s="3" customFormat="1" ht="13.8" x14ac:dyDescent="0.3">
      <c r="B113" s="12"/>
      <c r="C113" s="13" t="s">
        <v>72</v>
      </c>
      <c r="D113" s="14" t="s">
        <v>23</v>
      </c>
      <c r="E113" s="12">
        <f>5.5/100</f>
        <v>5.5E-2</v>
      </c>
      <c r="F113" s="15">
        <f>F109*E113</f>
        <v>53.844999999999999</v>
      </c>
      <c r="G113" s="16"/>
      <c r="H113" s="16">
        <f>F113*G113</f>
        <v>0</v>
      </c>
      <c r="I113" s="16"/>
      <c r="J113" s="16"/>
      <c r="K113" s="16"/>
      <c r="L113" s="16"/>
      <c r="M113" s="16">
        <f t="shared" ref="M113:M114" si="15">L113+J113+H113</f>
        <v>0</v>
      </c>
      <c r="N113" s="47"/>
      <c r="Y113" s="3">
        <f t="shared" si="14"/>
        <v>0</v>
      </c>
    </row>
    <row r="114" spans="1:25" s="3" customFormat="1" ht="13.8" x14ac:dyDescent="0.3">
      <c r="B114" s="12"/>
      <c r="C114" s="13" t="s">
        <v>47</v>
      </c>
      <c r="D114" s="14" t="s">
        <v>43</v>
      </c>
      <c r="E114" s="12">
        <f>4.66/100</f>
        <v>4.6600000000000003E-2</v>
      </c>
      <c r="F114" s="15">
        <f>F109*E114</f>
        <v>45.621400000000001</v>
      </c>
      <c r="G114" s="16"/>
      <c r="H114" s="16">
        <f>F114*G114</f>
        <v>0</v>
      </c>
      <c r="I114" s="16"/>
      <c r="J114" s="16"/>
      <c r="K114" s="16"/>
      <c r="L114" s="16"/>
      <c r="M114" s="16">
        <f t="shared" si="15"/>
        <v>0</v>
      </c>
      <c r="N114" s="47"/>
      <c r="Y114" s="3">
        <f t="shared" si="14"/>
        <v>0</v>
      </c>
    </row>
    <row r="115" spans="1:25" s="25" customFormat="1" x14ac:dyDescent="0.3">
      <c r="B115" s="5">
        <f>MAX($B$25:B114)+1</f>
        <v>21</v>
      </c>
      <c r="C115" s="67" t="s">
        <v>40</v>
      </c>
      <c r="D115" s="6" t="s">
        <v>41</v>
      </c>
      <c r="E115" s="6"/>
      <c r="F115" s="7">
        <v>480</v>
      </c>
      <c r="G115" s="8"/>
      <c r="H115" s="9"/>
      <c r="I115" s="10"/>
      <c r="J115" s="9"/>
      <c r="K115" s="10"/>
      <c r="L115" s="9"/>
      <c r="M115" s="11"/>
      <c r="N115" s="46"/>
    </row>
    <row r="116" spans="1:25" s="25" customFormat="1" x14ac:dyDescent="0.3">
      <c r="B116" s="12"/>
      <c r="C116" s="13" t="s">
        <v>24</v>
      </c>
      <c r="D116" s="14" t="s">
        <v>41</v>
      </c>
      <c r="E116" s="12">
        <v>1</v>
      </c>
      <c r="F116" s="15">
        <f>F115*E116</f>
        <v>480</v>
      </c>
      <c r="G116" s="16"/>
      <c r="H116" s="16"/>
      <c r="I116" s="16"/>
      <c r="J116" s="66">
        <f>F116*I116</f>
        <v>0</v>
      </c>
      <c r="K116" s="16"/>
      <c r="L116" s="16"/>
      <c r="M116" s="66">
        <f>J116</f>
        <v>0</v>
      </c>
      <c r="N116" s="46"/>
    </row>
    <row r="117" spans="1:25" s="25" customFormat="1" x14ac:dyDescent="0.3">
      <c r="B117" s="12"/>
      <c r="C117" s="13" t="s">
        <v>42</v>
      </c>
      <c r="D117" s="14" t="s">
        <v>43</v>
      </c>
      <c r="E117" s="12">
        <v>7.1000000000000004E-3</v>
      </c>
      <c r="F117" s="15">
        <f>F115*E117</f>
        <v>3.4080000000000004</v>
      </c>
      <c r="G117" s="16"/>
      <c r="H117" s="16"/>
      <c r="I117" s="16"/>
      <c r="J117" s="16"/>
      <c r="K117" s="16"/>
      <c r="L117" s="16">
        <f>F117*K117</f>
        <v>0</v>
      </c>
      <c r="M117" s="16">
        <f>L117</f>
        <v>0</v>
      </c>
      <c r="N117" s="46"/>
    </row>
    <row r="118" spans="1:25" s="3" customFormat="1" ht="13.8" x14ac:dyDescent="0.3">
      <c r="B118" s="12"/>
      <c r="C118" s="13" t="s">
        <v>44</v>
      </c>
      <c r="D118" s="14" t="s">
        <v>41</v>
      </c>
      <c r="E118" s="12">
        <v>1</v>
      </c>
      <c r="F118" s="15">
        <f>F115*E118</f>
        <v>480</v>
      </c>
      <c r="G118" s="16"/>
      <c r="H118" s="16">
        <f>F118*G118</f>
        <v>0</v>
      </c>
      <c r="I118" s="16"/>
      <c r="J118" s="16"/>
      <c r="K118" s="16"/>
      <c r="L118" s="16"/>
      <c r="M118" s="16">
        <f>H118</f>
        <v>0</v>
      </c>
      <c r="N118" s="47"/>
    </row>
    <row r="119" spans="1:25" s="25" customFormat="1" ht="15" x14ac:dyDescent="0.3">
      <c r="B119" s="12"/>
      <c r="C119" s="13" t="s">
        <v>45</v>
      </c>
      <c r="D119" s="14" t="s">
        <v>23</v>
      </c>
      <c r="E119" s="12">
        <v>5.8999999999999997E-2</v>
      </c>
      <c r="F119" s="15">
        <f>F115*E119</f>
        <v>28.32</v>
      </c>
      <c r="G119" s="17"/>
      <c r="H119" s="16">
        <f>F119*G119</f>
        <v>0</v>
      </c>
      <c r="I119" s="16"/>
      <c r="J119" s="16"/>
      <c r="K119" s="16"/>
      <c r="L119" s="16"/>
      <c r="M119" s="16">
        <f>H119</f>
        <v>0</v>
      </c>
      <c r="N119" s="46"/>
    </row>
    <row r="120" spans="1:25" s="25" customFormat="1" x14ac:dyDescent="0.3">
      <c r="B120" s="12"/>
      <c r="C120" s="13" t="s">
        <v>46</v>
      </c>
      <c r="D120" s="14" t="s">
        <v>23</v>
      </c>
      <c r="E120" s="12">
        <v>5.9999999999999995E-4</v>
      </c>
      <c r="F120" s="15">
        <f>F115*E120</f>
        <v>0.28799999999999998</v>
      </c>
      <c r="G120" s="16"/>
      <c r="H120" s="16">
        <f>F120*G120</f>
        <v>0</v>
      </c>
      <c r="I120" s="16"/>
      <c r="J120" s="66"/>
      <c r="K120" s="16"/>
      <c r="L120" s="16"/>
      <c r="M120" s="66">
        <f>H120</f>
        <v>0</v>
      </c>
      <c r="N120" s="46"/>
    </row>
    <row r="121" spans="1:25" s="64" customFormat="1" ht="15" x14ac:dyDescent="0.3">
      <c r="A121" s="65"/>
      <c r="B121" s="12"/>
      <c r="C121" s="13" t="s">
        <v>47</v>
      </c>
      <c r="D121" s="14" t="s">
        <v>43</v>
      </c>
      <c r="E121" s="12">
        <v>9.6000000000000002E-2</v>
      </c>
      <c r="F121" s="15">
        <f>F115*E121</f>
        <v>46.08</v>
      </c>
      <c r="G121" s="16"/>
      <c r="H121" s="16">
        <f>F121*G121</f>
        <v>0</v>
      </c>
      <c r="I121" s="16"/>
      <c r="J121" s="16"/>
      <c r="K121" s="16"/>
      <c r="L121" s="16"/>
      <c r="M121" s="16">
        <f>H121</f>
        <v>0</v>
      </c>
    </row>
    <row r="122" spans="1:25" s="124" customFormat="1" ht="27.6" x14ac:dyDescent="0.3">
      <c r="B122" s="125"/>
      <c r="C122" s="36" t="s">
        <v>179</v>
      </c>
      <c r="D122" s="125"/>
      <c r="E122" s="125"/>
      <c r="F122" s="125"/>
      <c r="G122" s="125"/>
      <c r="H122" s="125"/>
      <c r="I122" s="125"/>
      <c r="J122" s="125"/>
      <c r="K122" s="125"/>
      <c r="L122" s="125"/>
      <c r="M122" s="125"/>
      <c r="N122" s="49"/>
      <c r="O122" s="27"/>
    </row>
    <row r="123" spans="1:25" s="3" customFormat="1" x14ac:dyDescent="0.3">
      <c r="B123" s="5">
        <f>MAX($B$25:B122)+1</f>
        <v>22</v>
      </c>
      <c r="C123" s="23" t="s">
        <v>77</v>
      </c>
      <c r="D123" s="6" t="s">
        <v>55</v>
      </c>
      <c r="E123" s="6"/>
      <c r="F123" s="7">
        <v>475</v>
      </c>
      <c r="G123" s="8"/>
      <c r="H123" s="9"/>
      <c r="I123" s="10"/>
      <c r="J123" s="9"/>
      <c r="K123" s="10"/>
      <c r="L123" s="9"/>
      <c r="M123" s="11"/>
      <c r="N123" s="43"/>
    </row>
    <row r="124" spans="1:25" s="24" customFormat="1" ht="15" x14ac:dyDescent="0.3">
      <c r="A124" s="71"/>
      <c r="B124" s="12"/>
      <c r="C124" s="13" t="s">
        <v>61</v>
      </c>
      <c r="D124" s="14" t="s">
        <v>55</v>
      </c>
      <c r="E124" s="12">
        <v>1</v>
      </c>
      <c r="F124" s="15">
        <f>F123*E124</f>
        <v>475</v>
      </c>
      <c r="G124" s="16"/>
      <c r="H124" s="16"/>
      <c r="I124" s="68"/>
      <c r="J124" s="68">
        <f>I124*F124</f>
        <v>0</v>
      </c>
      <c r="K124" s="68"/>
      <c r="L124" s="68"/>
      <c r="M124" s="68">
        <f t="shared" ref="M124" si="16">L124+J124+H124</f>
        <v>0</v>
      </c>
      <c r="N124" s="70"/>
    </row>
    <row r="125" spans="1:25" s="24" customFormat="1" ht="15" x14ac:dyDescent="0.3">
      <c r="A125" s="71"/>
      <c r="B125" s="12"/>
      <c r="C125" s="13" t="s">
        <v>78</v>
      </c>
      <c r="D125" s="14" t="s">
        <v>43</v>
      </c>
      <c r="E125" s="12">
        <f>(0.74+0.05*45)/100</f>
        <v>2.9900000000000003E-2</v>
      </c>
      <c r="F125" s="15">
        <f>F123*E125</f>
        <v>14.202500000000001</v>
      </c>
      <c r="G125" s="16"/>
      <c r="H125" s="16"/>
      <c r="I125" s="68"/>
      <c r="J125" s="68"/>
      <c r="K125" s="68"/>
      <c r="L125" s="68">
        <f>K125*F125</f>
        <v>0</v>
      </c>
      <c r="M125" s="68">
        <f>L125+J125+H125</f>
        <v>0</v>
      </c>
      <c r="N125" s="70"/>
    </row>
    <row r="126" spans="1:25" s="24" customFormat="1" ht="15" x14ac:dyDescent="0.3">
      <c r="A126" s="71"/>
      <c r="B126" s="12"/>
      <c r="C126" s="13" t="s">
        <v>79</v>
      </c>
      <c r="D126" s="14" t="s">
        <v>80</v>
      </c>
      <c r="E126" s="12">
        <v>6.5000000000000002E-2</v>
      </c>
      <c r="F126" s="15">
        <f>F123*E126</f>
        <v>30.875</v>
      </c>
      <c r="G126" s="16"/>
      <c r="H126" s="16">
        <f>G126*F126</f>
        <v>0</v>
      </c>
      <c r="I126" s="68"/>
      <c r="J126" s="68"/>
      <c r="K126" s="68"/>
      <c r="L126" s="68"/>
      <c r="M126" s="68">
        <f>L126+J126+H126</f>
        <v>0</v>
      </c>
      <c r="N126" s="70"/>
    </row>
    <row r="127" spans="1:25" s="24" customFormat="1" ht="15" x14ac:dyDescent="0.3">
      <c r="A127" s="71"/>
      <c r="B127" s="12"/>
      <c r="C127" s="13" t="s">
        <v>81</v>
      </c>
      <c r="D127" s="14" t="s">
        <v>43</v>
      </c>
      <c r="E127" s="12">
        <v>6.4000000000000001E-2</v>
      </c>
      <c r="F127" s="15">
        <f>F123*E127</f>
        <v>30.400000000000002</v>
      </c>
      <c r="G127" s="16"/>
      <c r="H127" s="16">
        <f>G127*F127</f>
        <v>0</v>
      </c>
      <c r="I127" s="68"/>
      <c r="J127" s="68"/>
      <c r="K127" s="68"/>
      <c r="L127" s="68"/>
      <c r="M127" s="68">
        <f>L127+J127+H127</f>
        <v>0</v>
      </c>
      <c r="N127" s="70"/>
      <c r="O127" s="70"/>
    </row>
    <row r="128" spans="1:25" s="3" customFormat="1" x14ac:dyDescent="0.3">
      <c r="B128" s="5">
        <f>MAX($B$25:B127)+1</f>
        <v>23</v>
      </c>
      <c r="C128" s="23" t="s">
        <v>176</v>
      </c>
      <c r="D128" s="6" t="s">
        <v>55</v>
      </c>
      <c r="E128" s="6"/>
      <c r="F128" s="7">
        <f>F123</f>
        <v>475</v>
      </c>
      <c r="G128" s="8"/>
      <c r="H128" s="9"/>
      <c r="I128" s="10"/>
      <c r="J128" s="9"/>
      <c r="K128" s="10"/>
      <c r="L128" s="9"/>
      <c r="M128" s="11"/>
      <c r="N128" s="43"/>
      <c r="O128" s="24"/>
    </row>
    <row r="129" spans="2:25" s="24" customFormat="1" x14ac:dyDescent="0.3">
      <c r="B129" s="12"/>
      <c r="C129" s="13" t="s">
        <v>61</v>
      </c>
      <c r="D129" s="14" t="s">
        <v>55</v>
      </c>
      <c r="E129" s="12">
        <v>1</v>
      </c>
      <c r="F129" s="15">
        <f>F128*E129</f>
        <v>475</v>
      </c>
      <c r="G129" s="16"/>
      <c r="H129" s="16"/>
      <c r="I129" s="17"/>
      <c r="J129" s="16">
        <f>F129*I129</f>
        <v>0</v>
      </c>
      <c r="K129" s="16"/>
      <c r="L129" s="16"/>
      <c r="M129" s="16">
        <f>J129</f>
        <v>0</v>
      </c>
      <c r="N129" s="45"/>
      <c r="O129" s="3"/>
      <c r="P129" s="3"/>
    </row>
    <row r="130" spans="2:25" s="24" customFormat="1" ht="15" customHeight="1" x14ac:dyDescent="0.3">
      <c r="B130" s="12"/>
      <c r="C130" s="13" t="s">
        <v>84</v>
      </c>
      <c r="D130" s="14" t="s">
        <v>43</v>
      </c>
      <c r="E130" s="12">
        <v>2.5000000000000001E-2</v>
      </c>
      <c r="F130" s="15">
        <f>F128*E130</f>
        <v>11.875</v>
      </c>
      <c r="G130" s="16"/>
      <c r="H130" s="16"/>
      <c r="J130" s="16"/>
      <c r="K130" s="16"/>
      <c r="L130" s="16">
        <f>F130*K130</f>
        <v>0</v>
      </c>
      <c r="M130" s="16">
        <f>L130</f>
        <v>0</v>
      </c>
      <c r="N130" s="45"/>
    </row>
    <row r="131" spans="2:25" s="24" customFormat="1" x14ac:dyDescent="0.3">
      <c r="B131" s="12"/>
      <c r="C131" s="13" t="s">
        <v>146</v>
      </c>
      <c r="D131" s="14" t="s">
        <v>73</v>
      </c>
      <c r="E131" s="12">
        <v>2.1</v>
      </c>
      <c r="F131" s="15">
        <f>F128*E131</f>
        <v>997.5</v>
      </c>
      <c r="G131" s="16"/>
      <c r="H131" s="16">
        <f>F131*G131</f>
        <v>0</v>
      </c>
      <c r="I131" s="16"/>
      <c r="J131" s="16"/>
      <c r="K131" s="16"/>
      <c r="L131" s="16"/>
      <c r="M131" s="16">
        <f>H131</f>
        <v>0</v>
      </c>
      <c r="N131" s="45"/>
    </row>
    <row r="132" spans="2:25" s="3" customFormat="1" ht="13.8" x14ac:dyDescent="0.3">
      <c r="B132" s="12"/>
      <c r="C132" s="13" t="s">
        <v>74</v>
      </c>
      <c r="D132" s="14" t="s">
        <v>75</v>
      </c>
      <c r="E132" s="12">
        <v>1.1000000000000001</v>
      </c>
      <c r="F132" s="15">
        <f>F129*E132</f>
        <v>522.5</v>
      </c>
      <c r="G132" s="16"/>
      <c r="H132" s="16">
        <f>F132*G132</f>
        <v>0</v>
      </c>
      <c r="I132" s="16"/>
      <c r="J132" s="16"/>
      <c r="K132" s="16"/>
      <c r="L132" s="16"/>
      <c r="M132" s="16">
        <f>H132+J132+L132</f>
        <v>0</v>
      </c>
      <c r="N132" s="44"/>
    </row>
    <row r="133" spans="2:25" s="24" customFormat="1" x14ac:dyDescent="0.3">
      <c r="B133" s="12"/>
      <c r="C133" s="13" t="s">
        <v>76</v>
      </c>
      <c r="D133" s="14" t="s">
        <v>43</v>
      </c>
      <c r="E133" s="12">
        <v>1</v>
      </c>
      <c r="F133" s="15">
        <f>F128*E133</f>
        <v>475</v>
      </c>
      <c r="G133" s="16"/>
      <c r="H133" s="16">
        <f>F133*G133</f>
        <v>0</v>
      </c>
      <c r="I133" s="16"/>
      <c r="J133" s="16"/>
      <c r="K133" s="16"/>
      <c r="L133" s="16"/>
      <c r="M133" s="16">
        <f>H133</f>
        <v>0</v>
      </c>
      <c r="N133" s="63"/>
    </row>
    <row r="134" spans="2:25" s="3" customFormat="1" x14ac:dyDescent="0.3">
      <c r="B134" s="5">
        <f>MAX($B$25:B133)+1</f>
        <v>24</v>
      </c>
      <c r="C134" s="23" t="s">
        <v>28</v>
      </c>
      <c r="D134" s="6" t="s">
        <v>23</v>
      </c>
      <c r="E134" s="6"/>
      <c r="F134" s="7">
        <f>F123*0.1</f>
        <v>47.5</v>
      </c>
      <c r="G134" s="8"/>
      <c r="H134" s="9"/>
      <c r="I134" s="10"/>
      <c r="J134" s="9"/>
      <c r="K134" s="10"/>
      <c r="L134" s="9"/>
      <c r="M134" s="11"/>
      <c r="N134" s="43"/>
      <c r="O134" s="24"/>
    </row>
    <row r="135" spans="2:25" s="24" customFormat="1" x14ac:dyDescent="0.3">
      <c r="B135" s="12"/>
      <c r="C135" s="13" t="s">
        <v>24</v>
      </c>
      <c r="D135" s="14" t="s">
        <v>23</v>
      </c>
      <c r="E135" s="12">
        <v>1</v>
      </c>
      <c r="F135" s="15">
        <f>F134*E135</f>
        <v>47.5</v>
      </c>
      <c r="G135" s="16"/>
      <c r="H135" s="16"/>
      <c r="I135" s="17"/>
      <c r="J135" s="16">
        <f>F135*I135</f>
        <v>0</v>
      </c>
      <c r="K135" s="16"/>
      <c r="L135" s="16"/>
      <c r="M135" s="16">
        <f>J135</f>
        <v>0</v>
      </c>
      <c r="N135" s="45"/>
      <c r="O135" s="3"/>
      <c r="P135" s="3"/>
    </row>
    <row r="136" spans="2:25" s="24" customFormat="1" ht="15" customHeight="1" x14ac:dyDescent="0.3">
      <c r="B136" s="12"/>
      <c r="C136" s="13" t="s">
        <v>42</v>
      </c>
      <c r="D136" s="14" t="s">
        <v>25</v>
      </c>
      <c r="E136" s="12">
        <v>0.12</v>
      </c>
      <c r="F136" s="15">
        <f>F134*E136</f>
        <v>5.7</v>
      </c>
      <c r="G136" s="16"/>
      <c r="H136" s="16"/>
      <c r="I136" s="16"/>
      <c r="J136" s="16"/>
      <c r="K136" s="16"/>
      <c r="L136" s="16">
        <f>F136*K136</f>
        <v>0</v>
      </c>
      <c r="M136" s="16">
        <f>L136</f>
        <v>0</v>
      </c>
      <c r="N136" s="45"/>
    </row>
    <row r="137" spans="2:25" s="24" customFormat="1" x14ac:dyDescent="0.3">
      <c r="B137" s="12"/>
      <c r="C137" s="13" t="s">
        <v>29</v>
      </c>
      <c r="D137" s="14" t="s">
        <v>23</v>
      </c>
      <c r="E137" s="12">
        <f>1.02*80%</f>
        <v>0.81600000000000006</v>
      </c>
      <c r="F137" s="15">
        <f>F134*E137</f>
        <v>38.760000000000005</v>
      </c>
      <c r="G137" s="16"/>
      <c r="H137" s="16">
        <f>F137*G137</f>
        <v>0</v>
      </c>
      <c r="I137" s="16"/>
      <c r="J137" s="16"/>
      <c r="K137" s="16"/>
      <c r="L137" s="16"/>
      <c r="M137" s="16">
        <f>H137</f>
        <v>0</v>
      </c>
      <c r="N137" s="63"/>
    </row>
    <row r="138" spans="2:25" s="24" customFormat="1" ht="13.5" customHeight="1" x14ac:dyDescent="0.3">
      <c r="B138" s="12"/>
      <c r="C138" s="13" t="s">
        <v>30</v>
      </c>
      <c r="D138" s="14" t="s">
        <v>31</v>
      </c>
      <c r="E138" s="12">
        <f>1.03*1.5*10%</f>
        <v>0.1545</v>
      </c>
      <c r="F138" s="15">
        <f>F134*E138</f>
        <v>7.3387500000000001</v>
      </c>
      <c r="G138" s="16"/>
      <c r="H138" s="16">
        <f>F138*G138</f>
        <v>0</v>
      </c>
      <c r="I138" s="16"/>
      <c r="J138" s="16"/>
      <c r="K138" s="16"/>
      <c r="L138" s="16"/>
      <c r="M138" s="16">
        <f>H138</f>
        <v>0</v>
      </c>
      <c r="N138" s="45"/>
    </row>
    <row r="139" spans="2:25" s="25" customFormat="1" x14ac:dyDescent="0.3">
      <c r="B139" s="5">
        <f>MAX($B$25:B138)+1</f>
        <v>25</v>
      </c>
      <c r="C139" s="23" t="s">
        <v>180</v>
      </c>
      <c r="D139" s="6" t="s">
        <v>55</v>
      </c>
      <c r="E139" s="6"/>
      <c r="F139" s="7">
        <f>F123</f>
        <v>475</v>
      </c>
      <c r="G139" s="8"/>
      <c r="H139" s="9"/>
      <c r="I139" s="10"/>
      <c r="J139" s="9"/>
      <c r="K139" s="10"/>
      <c r="L139" s="9"/>
      <c r="M139" s="11"/>
      <c r="N139" s="46"/>
      <c r="Y139" s="25">
        <f t="shared" ref="Y139:Y144" si="17">X139-M139</f>
        <v>0</v>
      </c>
    </row>
    <row r="140" spans="2:25" s="25" customFormat="1" x14ac:dyDescent="0.3">
      <c r="B140" s="12"/>
      <c r="C140" s="13" t="s">
        <v>61</v>
      </c>
      <c r="D140" s="14" t="s">
        <v>55</v>
      </c>
      <c r="E140" s="12">
        <v>1</v>
      </c>
      <c r="F140" s="15">
        <f>F139*E140</f>
        <v>475</v>
      </c>
      <c r="G140" s="16"/>
      <c r="H140" s="16"/>
      <c r="I140" s="16"/>
      <c r="J140" s="16">
        <f>F140*I140</f>
        <v>0</v>
      </c>
      <c r="K140" s="16"/>
      <c r="L140" s="16"/>
      <c r="M140" s="16">
        <f>H140+J140+L140</f>
        <v>0</v>
      </c>
      <c r="N140" s="46"/>
      <c r="Y140" s="25">
        <f t="shared" si="17"/>
        <v>0</v>
      </c>
    </row>
    <row r="141" spans="2:25" s="24" customFormat="1" ht="13.5" customHeight="1" x14ac:dyDescent="0.3">
      <c r="B141" s="12"/>
      <c r="C141" s="13" t="s">
        <v>42</v>
      </c>
      <c r="D141" s="14" t="s">
        <v>43</v>
      </c>
      <c r="E141" s="12">
        <f>4.52/100</f>
        <v>4.5199999999999997E-2</v>
      </c>
      <c r="F141" s="15">
        <f>F139*E141</f>
        <v>21.47</v>
      </c>
      <c r="G141" s="16"/>
      <c r="H141" s="16"/>
      <c r="I141" s="16"/>
      <c r="J141" s="16"/>
      <c r="K141" s="16"/>
      <c r="L141" s="16">
        <f>F141*K141</f>
        <v>0</v>
      </c>
      <c r="M141" s="16">
        <f>L141</f>
        <v>0</v>
      </c>
      <c r="N141" s="45"/>
      <c r="Y141" s="24">
        <f t="shared" si="17"/>
        <v>0</v>
      </c>
    </row>
    <row r="142" spans="2:25" s="25" customFormat="1" x14ac:dyDescent="0.3">
      <c r="B142" s="12"/>
      <c r="C142" s="13" t="s">
        <v>181</v>
      </c>
      <c r="D142" s="14" t="s">
        <v>55</v>
      </c>
      <c r="E142" s="12">
        <f>102/100</f>
        <v>1.02</v>
      </c>
      <c r="F142" s="15">
        <f>E142*F139</f>
        <v>484.5</v>
      </c>
      <c r="G142" s="17"/>
      <c r="H142" s="16">
        <f>F142*G142</f>
        <v>0</v>
      </c>
      <c r="I142" s="16"/>
      <c r="J142" s="16"/>
      <c r="K142" s="16"/>
      <c r="L142" s="16"/>
      <c r="M142" s="16">
        <f>L142+J142+H142</f>
        <v>0</v>
      </c>
      <c r="N142" s="46"/>
      <c r="Y142" s="25">
        <f t="shared" si="17"/>
        <v>0</v>
      </c>
    </row>
    <row r="143" spans="2:25" s="3" customFormat="1" ht="13.8" x14ac:dyDescent="0.3">
      <c r="B143" s="12"/>
      <c r="C143" s="13" t="s">
        <v>72</v>
      </c>
      <c r="D143" s="14" t="s">
        <v>23</v>
      </c>
      <c r="E143" s="12">
        <f>5.5/100</f>
        <v>5.5E-2</v>
      </c>
      <c r="F143" s="15">
        <f>F139*E143</f>
        <v>26.125</v>
      </c>
      <c r="G143" s="16"/>
      <c r="H143" s="16">
        <f>F143*G143</f>
        <v>0</v>
      </c>
      <c r="I143" s="16"/>
      <c r="J143" s="16"/>
      <c r="K143" s="16"/>
      <c r="L143" s="16"/>
      <c r="M143" s="16">
        <f t="shared" ref="M143:M144" si="18">L143+J143+H143</f>
        <v>0</v>
      </c>
      <c r="N143" s="47"/>
      <c r="Y143" s="3">
        <f t="shared" si="17"/>
        <v>0</v>
      </c>
    </row>
    <row r="144" spans="2:25" s="3" customFormat="1" ht="13.8" x14ac:dyDescent="0.3">
      <c r="B144" s="12"/>
      <c r="C144" s="13" t="s">
        <v>47</v>
      </c>
      <c r="D144" s="14" t="s">
        <v>43</v>
      </c>
      <c r="E144" s="12">
        <f>4.66/100</f>
        <v>4.6600000000000003E-2</v>
      </c>
      <c r="F144" s="15">
        <f>F139*E144</f>
        <v>22.135000000000002</v>
      </c>
      <c r="G144" s="16"/>
      <c r="H144" s="16">
        <f>F144*G144</f>
        <v>0</v>
      </c>
      <c r="I144" s="16"/>
      <c r="J144" s="16"/>
      <c r="K144" s="16"/>
      <c r="L144" s="16"/>
      <c r="M144" s="16">
        <f t="shared" si="18"/>
        <v>0</v>
      </c>
      <c r="N144" s="47"/>
      <c r="Y144" s="3">
        <f t="shared" si="17"/>
        <v>0</v>
      </c>
    </row>
    <row r="145" spans="2:14" s="76" customFormat="1" x14ac:dyDescent="0.3">
      <c r="B145" s="5">
        <f ca="1">MAX($B$5:B197)+1</f>
        <v>20</v>
      </c>
      <c r="C145" s="23" t="s">
        <v>82</v>
      </c>
      <c r="D145" s="6" t="s">
        <v>41</v>
      </c>
      <c r="E145" s="6"/>
      <c r="F145" s="7">
        <f>F154</f>
        <v>100</v>
      </c>
      <c r="G145" s="8"/>
      <c r="H145" s="9"/>
      <c r="I145" s="10"/>
      <c r="J145" s="9"/>
      <c r="K145" s="10"/>
      <c r="L145" s="9"/>
      <c r="M145" s="11"/>
      <c r="N145" s="77"/>
    </row>
    <row r="146" spans="2:14" s="76" customFormat="1" ht="13.8" x14ac:dyDescent="0.3">
      <c r="B146" s="12"/>
      <c r="C146" s="13" t="s">
        <v>24</v>
      </c>
      <c r="D146" s="14" t="s">
        <v>41</v>
      </c>
      <c r="E146" s="12">
        <v>1</v>
      </c>
      <c r="F146" s="15">
        <f>E146*F145</f>
        <v>100</v>
      </c>
      <c r="G146" s="16"/>
      <c r="H146" s="16"/>
      <c r="I146" s="16"/>
      <c r="J146" s="16">
        <f>I146*F146</f>
        <v>0</v>
      </c>
      <c r="K146" s="16"/>
      <c r="L146" s="16">
        <f>K146*F146</f>
        <v>0</v>
      </c>
      <c r="M146" s="16">
        <f t="shared" ref="M146" si="19">H146+J146+L146</f>
        <v>0</v>
      </c>
      <c r="N146" s="78"/>
    </row>
    <row r="147" spans="2:14" s="76" customFormat="1" ht="29.25" customHeight="1" x14ac:dyDescent="0.3">
      <c r="B147" s="5">
        <f ca="1">MAX($B$5:B145)+1</f>
        <v>21</v>
      </c>
      <c r="C147" s="23" t="s">
        <v>83</v>
      </c>
      <c r="D147" s="6" t="s">
        <v>41</v>
      </c>
      <c r="E147" s="6"/>
      <c r="F147" s="7">
        <f>F156</f>
        <v>100</v>
      </c>
      <c r="G147" s="8"/>
      <c r="H147" s="9"/>
      <c r="I147" s="10"/>
      <c r="J147" s="9"/>
      <c r="K147" s="10"/>
      <c r="L147" s="9"/>
      <c r="M147" s="11"/>
      <c r="N147" s="77"/>
    </row>
    <row r="148" spans="2:14" s="76" customFormat="1" ht="13.8" x14ac:dyDescent="0.3">
      <c r="B148" s="12"/>
      <c r="C148" s="13" t="s">
        <v>24</v>
      </c>
      <c r="D148" s="14" t="s">
        <v>41</v>
      </c>
      <c r="E148" s="12">
        <v>1</v>
      </c>
      <c r="F148" s="15">
        <f>E148*F147</f>
        <v>100</v>
      </c>
      <c r="G148" s="16"/>
      <c r="H148" s="16"/>
      <c r="I148" s="16"/>
      <c r="J148" s="16">
        <f>I148*F148</f>
        <v>0</v>
      </c>
      <c r="K148" s="16"/>
      <c r="L148" s="16"/>
      <c r="M148" s="16">
        <f t="shared" ref="M148:M150" si="20">H148+J148+L148</f>
        <v>0</v>
      </c>
      <c r="N148" s="78"/>
    </row>
    <row r="149" spans="2:14" s="76" customFormat="1" ht="13.8" x14ac:dyDescent="0.3">
      <c r="B149" s="12"/>
      <c r="C149" s="13" t="s">
        <v>84</v>
      </c>
      <c r="D149" s="14" t="s">
        <v>43</v>
      </c>
      <c r="E149" s="12">
        <v>1</v>
      </c>
      <c r="F149" s="15">
        <f>E149*F147</f>
        <v>100</v>
      </c>
      <c r="G149" s="16"/>
      <c r="H149" s="16">
        <f t="shared" ref="H149" si="21">G149*F149</f>
        <v>0</v>
      </c>
      <c r="I149" s="16"/>
      <c r="J149" s="16"/>
      <c r="K149" s="16"/>
      <c r="L149" s="16">
        <f>K149*F149</f>
        <v>0</v>
      </c>
      <c r="M149" s="16">
        <f t="shared" si="20"/>
        <v>0</v>
      </c>
      <c r="N149" s="78"/>
    </row>
    <row r="150" spans="2:14" s="76" customFormat="1" ht="15" x14ac:dyDescent="0.3">
      <c r="B150" s="12"/>
      <c r="C150" s="13" t="s">
        <v>85</v>
      </c>
      <c r="D150" s="14" t="s">
        <v>86</v>
      </c>
      <c r="E150" s="12">
        <v>0.1</v>
      </c>
      <c r="F150" s="15">
        <f>F147*E150</f>
        <v>10</v>
      </c>
      <c r="G150" s="17"/>
      <c r="H150" s="16">
        <f>F150*G150</f>
        <v>0</v>
      </c>
      <c r="I150" s="16"/>
      <c r="J150" s="16"/>
      <c r="K150" s="16"/>
      <c r="L150" s="16"/>
      <c r="M150" s="16">
        <f t="shared" si="20"/>
        <v>0</v>
      </c>
      <c r="N150" s="78"/>
    </row>
    <row r="151" spans="2:14" s="76" customFormat="1" ht="29.25" customHeight="1" x14ac:dyDescent="0.3">
      <c r="B151" s="5">
        <f ca="1">MAX($B$5:B149)+1</f>
        <v>22</v>
      </c>
      <c r="C151" s="23" t="s">
        <v>159</v>
      </c>
      <c r="D151" s="6" t="s">
        <v>87</v>
      </c>
      <c r="E151" s="6"/>
      <c r="F151" s="7">
        <v>20</v>
      </c>
      <c r="G151" s="8"/>
      <c r="H151" s="9"/>
      <c r="I151" s="10"/>
      <c r="J151" s="9"/>
      <c r="K151" s="10"/>
      <c r="L151" s="9"/>
      <c r="M151" s="11"/>
      <c r="N151" s="77"/>
    </row>
    <row r="152" spans="2:14" s="76" customFormat="1" ht="13.8" x14ac:dyDescent="0.3">
      <c r="B152" s="12"/>
      <c r="C152" s="13" t="s">
        <v>24</v>
      </c>
      <c r="D152" s="14" t="s">
        <v>87</v>
      </c>
      <c r="E152" s="12">
        <v>1</v>
      </c>
      <c r="F152" s="15">
        <f>E152*F151</f>
        <v>20</v>
      </c>
      <c r="G152" s="16"/>
      <c r="H152" s="16"/>
      <c r="I152" s="16"/>
      <c r="J152" s="16">
        <f>I152*F152</f>
        <v>0</v>
      </c>
      <c r="K152" s="16"/>
      <c r="L152" s="16"/>
      <c r="M152" s="16">
        <f t="shared" ref="M152:M153" si="22">H152+J152+L152</f>
        <v>0</v>
      </c>
      <c r="N152" s="78"/>
    </row>
    <row r="153" spans="2:14" s="76" customFormat="1" ht="13.8" x14ac:dyDescent="0.3">
      <c r="B153" s="12"/>
      <c r="C153" s="13" t="s">
        <v>185</v>
      </c>
      <c r="D153" s="14" t="s">
        <v>41</v>
      </c>
      <c r="E153" s="12">
        <v>1.1000000000000001</v>
      </c>
      <c r="F153" s="15">
        <f>F151*6*E153</f>
        <v>132</v>
      </c>
      <c r="G153" s="17"/>
      <c r="H153" s="16">
        <f>F153*G153</f>
        <v>0</v>
      </c>
      <c r="I153" s="16"/>
      <c r="J153" s="16"/>
      <c r="K153" s="16"/>
      <c r="L153" s="16"/>
      <c r="M153" s="16">
        <f t="shared" si="22"/>
        <v>0</v>
      </c>
      <c r="N153" s="78"/>
    </row>
    <row r="154" spans="2:14" s="76" customFormat="1" ht="29.25" customHeight="1" x14ac:dyDescent="0.3">
      <c r="B154" s="5">
        <f ca="1">MAX($B$5:B152)+1</f>
        <v>23</v>
      </c>
      <c r="C154" s="23" t="s">
        <v>158</v>
      </c>
      <c r="D154" s="6" t="s">
        <v>41</v>
      </c>
      <c r="E154" s="6"/>
      <c r="F154" s="7">
        <v>100</v>
      </c>
      <c r="G154" s="8"/>
      <c r="H154" s="9"/>
      <c r="I154" s="10"/>
      <c r="J154" s="9"/>
      <c r="K154" s="10"/>
      <c r="L154" s="9"/>
      <c r="M154" s="11"/>
      <c r="N154" s="77"/>
    </row>
    <row r="155" spans="2:14" s="76" customFormat="1" ht="13.8" x14ac:dyDescent="0.3">
      <c r="B155" s="12"/>
      <c r="C155" s="13" t="s">
        <v>24</v>
      </c>
      <c r="D155" s="14" t="s">
        <v>41</v>
      </c>
      <c r="E155" s="12">
        <v>1</v>
      </c>
      <c r="F155" s="15">
        <f>E155*F154</f>
        <v>100</v>
      </c>
      <c r="G155" s="16"/>
      <c r="H155" s="16"/>
      <c r="I155" s="16"/>
      <c r="J155" s="16">
        <f>I155*F155</f>
        <v>0</v>
      </c>
      <c r="K155" s="16"/>
      <c r="L155" s="16"/>
      <c r="M155" s="16">
        <f t="shared" ref="M155:M160" si="23">H155+J155+L155</f>
        <v>0</v>
      </c>
      <c r="N155" s="77"/>
    </row>
    <row r="156" spans="2:14" s="76" customFormat="1" ht="13.8" x14ac:dyDescent="0.3">
      <c r="B156" s="12"/>
      <c r="C156" s="13" t="s">
        <v>84</v>
      </c>
      <c r="D156" s="14" t="s">
        <v>43</v>
      </c>
      <c r="E156" s="12">
        <v>1</v>
      </c>
      <c r="F156" s="15">
        <f>E156*F154</f>
        <v>100</v>
      </c>
      <c r="G156" s="16"/>
      <c r="H156" s="16"/>
      <c r="I156" s="16"/>
      <c r="J156" s="16"/>
      <c r="K156" s="16"/>
      <c r="L156" s="16">
        <f>K156*F156</f>
        <v>0</v>
      </c>
      <c r="M156" s="16">
        <f t="shared" si="23"/>
        <v>0</v>
      </c>
      <c r="N156" s="77"/>
    </row>
    <row r="157" spans="2:14" s="76" customFormat="1" ht="13.8" x14ac:dyDescent="0.3">
      <c r="B157" s="12"/>
      <c r="C157" s="13" t="s">
        <v>37</v>
      </c>
      <c r="D157" s="14"/>
      <c r="E157" s="12"/>
      <c r="F157" s="15"/>
      <c r="G157" s="16"/>
      <c r="H157" s="16"/>
      <c r="I157" s="16"/>
      <c r="J157" s="16"/>
      <c r="K157" s="16"/>
      <c r="L157" s="16"/>
      <c r="M157" s="16">
        <f t="shared" si="23"/>
        <v>0</v>
      </c>
      <c r="N157" s="77"/>
    </row>
    <row r="158" spans="2:14" s="76" customFormat="1" ht="13.8" x14ac:dyDescent="0.3">
      <c r="B158" s="12"/>
      <c r="C158" s="13" t="s">
        <v>38</v>
      </c>
      <c r="D158" s="14" t="s">
        <v>18</v>
      </c>
      <c r="E158" s="12">
        <v>1.0149999999999999</v>
      </c>
      <c r="F158" s="15">
        <f>(F154*0.2*0.1*2+F154*0.4*0.1)*E158</f>
        <v>8.1199999999999992</v>
      </c>
      <c r="G158" s="16"/>
      <c r="H158" s="16">
        <f t="shared" ref="H158:H161" si="24">G158*F158</f>
        <v>0</v>
      </c>
      <c r="I158" s="16"/>
      <c r="J158" s="16"/>
      <c r="K158" s="16"/>
      <c r="L158" s="16"/>
      <c r="M158" s="16">
        <f t="shared" si="23"/>
        <v>0</v>
      </c>
      <c r="N158" s="77"/>
    </row>
    <row r="159" spans="2:14" s="76" customFormat="1" ht="13.8" x14ac:dyDescent="0.3">
      <c r="B159" s="12"/>
      <c r="C159" s="13" t="s">
        <v>88</v>
      </c>
      <c r="D159" s="14" t="s">
        <v>89</v>
      </c>
      <c r="E159" s="12">
        <f>0.015*1.02</f>
        <v>1.5299999999999999E-2</v>
      </c>
      <c r="F159" s="15">
        <f>F154*E159</f>
        <v>1.53</v>
      </c>
      <c r="G159" s="16"/>
      <c r="H159" s="16">
        <f t="shared" si="24"/>
        <v>0</v>
      </c>
      <c r="I159" s="16"/>
      <c r="J159" s="16"/>
      <c r="K159" s="16"/>
      <c r="L159" s="16"/>
      <c r="M159" s="16">
        <f t="shared" si="23"/>
        <v>0</v>
      </c>
      <c r="N159" s="77"/>
    </row>
    <row r="160" spans="2:14" s="76" customFormat="1" ht="13.8" x14ac:dyDescent="0.3">
      <c r="B160" s="12"/>
      <c r="C160" s="13" t="s">
        <v>90</v>
      </c>
      <c r="D160" s="14" t="s">
        <v>75</v>
      </c>
      <c r="E160" s="12">
        <v>1.0149999999999999</v>
      </c>
      <c r="F160" s="15">
        <f>F158/0.1</f>
        <v>81.199999999999989</v>
      </c>
      <c r="G160" s="16"/>
      <c r="H160" s="16">
        <f t="shared" si="24"/>
        <v>0</v>
      </c>
      <c r="I160" s="16"/>
      <c r="J160" s="16"/>
      <c r="K160" s="16"/>
      <c r="L160" s="16"/>
      <c r="M160" s="16">
        <f t="shared" si="23"/>
        <v>0</v>
      </c>
      <c r="N160" s="77"/>
    </row>
    <row r="161" spans="2:15" s="50" customFormat="1" x14ac:dyDescent="0.3">
      <c r="B161" s="12" t="s">
        <v>91</v>
      </c>
      <c r="C161" s="13" t="s">
        <v>186</v>
      </c>
      <c r="D161" s="14" t="s">
        <v>41</v>
      </c>
      <c r="E161" s="12">
        <v>1</v>
      </c>
      <c r="F161" s="15">
        <f>E161*F154</f>
        <v>100</v>
      </c>
      <c r="G161" s="16"/>
      <c r="H161" s="16">
        <f t="shared" si="24"/>
        <v>0</v>
      </c>
      <c r="I161" s="16"/>
      <c r="J161" s="16"/>
      <c r="K161" s="16"/>
      <c r="L161" s="16"/>
      <c r="M161" s="16">
        <f t="shared" ref="M161" si="25">L161+J161+H161</f>
        <v>0</v>
      </c>
    </row>
    <row r="162" spans="2:15" s="76" customFormat="1" ht="13.8" x14ac:dyDescent="0.3">
      <c r="B162" s="12"/>
      <c r="C162" s="13" t="s">
        <v>92</v>
      </c>
      <c r="D162" s="14" t="s">
        <v>41</v>
      </c>
      <c r="E162" s="12">
        <f>1.05*2</f>
        <v>2.1</v>
      </c>
      <c r="F162" s="15">
        <f>F154*E162</f>
        <v>210</v>
      </c>
      <c r="G162" s="16"/>
      <c r="H162" s="16">
        <f>G162*F162</f>
        <v>0</v>
      </c>
      <c r="I162" s="16"/>
      <c r="J162" s="16"/>
      <c r="K162" s="16"/>
      <c r="L162" s="16"/>
      <c r="M162" s="16">
        <f t="shared" ref="M162:M184" si="26">H162+J162+L162</f>
        <v>0</v>
      </c>
      <c r="N162" s="77"/>
    </row>
    <row r="163" spans="2:15" s="76" customFormat="1" ht="13.8" x14ac:dyDescent="0.3">
      <c r="B163" s="12"/>
      <c r="C163" s="13" t="s">
        <v>93</v>
      </c>
      <c r="D163" s="14" t="s">
        <v>41</v>
      </c>
      <c r="E163" s="12">
        <f>1.05*2</f>
        <v>2.1</v>
      </c>
      <c r="F163" s="15">
        <f>F154*E163</f>
        <v>210</v>
      </c>
      <c r="G163" s="16"/>
      <c r="H163" s="16">
        <f t="shared" ref="H163:H165" si="27">G163*F163</f>
        <v>0</v>
      </c>
      <c r="I163" s="16"/>
      <c r="J163" s="16"/>
      <c r="K163" s="16"/>
      <c r="L163" s="16"/>
      <c r="M163" s="16">
        <f t="shared" si="26"/>
        <v>0</v>
      </c>
      <c r="N163" s="77"/>
    </row>
    <row r="164" spans="2:15" s="76" customFormat="1" ht="13.5" customHeight="1" x14ac:dyDescent="0.3">
      <c r="B164" s="12"/>
      <c r="C164" s="13" t="s">
        <v>94</v>
      </c>
      <c r="D164" s="14" t="s">
        <v>73</v>
      </c>
      <c r="E164" s="12">
        <v>15</v>
      </c>
      <c r="F164" s="15">
        <f>(F162*8.42+F163*2.9)/1000*E164</f>
        <v>35.657999999999994</v>
      </c>
      <c r="G164" s="16"/>
      <c r="H164" s="16">
        <f t="shared" si="27"/>
        <v>0</v>
      </c>
      <c r="I164" s="16"/>
      <c r="J164" s="16"/>
      <c r="K164" s="16"/>
      <c r="L164" s="16"/>
      <c r="M164" s="16">
        <f t="shared" si="26"/>
        <v>0</v>
      </c>
      <c r="N164" s="77"/>
    </row>
    <row r="165" spans="2:15" s="76" customFormat="1" ht="13.5" customHeight="1" x14ac:dyDescent="0.3">
      <c r="B165" s="12"/>
      <c r="C165" s="13" t="s">
        <v>95</v>
      </c>
      <c r="D165" s="14" t="s">
        <v>87</v>
      </c>
      <c r="E165" s="12">
        <v>3</v>
      </c>
      <c r="F165" s="15">
        <f>(F162*8.42+F163*2.9)/1000*E165</f>
        <v>7.1315999999999988</v>
      </c>
      <c r="G165" s="16"/>
      <c r="H165" s="16">
        <f t="shared" si="27"/>
        <v>0</v>
      </c>
      <c r="I165" s="16"/>
      <c r="J165" s="16"/>
      <c r="K165" s="16"/>
      <c r="L165" s="16"/>
      <c r="M165" s="16">
        <f t="shared" si="26"/>
        <v>0</v>
      </c>
      <c r="N165" s="78"/>
    </row>
    <row r="166" spans="2:15" s="76" customFormat="1" ht="13.5" customHeight="1" x14ac:dyDescent="0.3">
      <c r="B166" s="12"/>
      <c r="C166" s="13" t="s">
        <v>96</v>
      </c>
      <c r="D166" s="14" t="s">
        <v>43</v>
      </c>
      <c r="E166" s="12">
        <v>0.3</v>
      </c>
      <c r="F166" s="15">
        <f>(F162*0.06*4+F163*0.05*2+F163*0.02*2)*E166</f>
        <v>23.94</v>
      </c>
      <c r="G166" s="16"/>
      <c r="H166" s="16">
        <f>G166*F166</f>
        <v>0</v>
      </c>
      <c r="I166" s="16"/>
      <c r="J166" s="16"/>
      <c r="K166" s="16"/>
      <c r="L166" s="16"/>
      <c r="M166" s="16">
        <f t="shared" si="26"/>
        <v>0</v>
      </c>
      <c r="N166" s="77"/>
    </row>
    <row r="167" spans="2:15" s="76" customFormat="1" ht="13.8" x14ac:dyDescent="0.3">
      <c r="B167" s="12"/>
      <c r="C167" s="13" t="s">
        <v>47</v>
      </c>
      <c r="D167" s="14" t="s">
        <v>43</v>
      </c>
      <c r="E167" s="12">
        <v>1</v>
      </c>
      <c r="F167" s="15">
        <f>E167*F154</f>
        <v>100</v>
      </c>
      <c r="G167" s="16"/>
      <c r="H167" s="16">
        <f>G167*F167</f>
        <v>0</v>
      </c>
      <c r="I167" s="16"/>
      <c r="J167" s="16"/>
      <c r="K167" s="16"/>
      <c r="L167" s="16"/>
      <c r="M167" s="16">
        <f t="shared" si="26"/>
        <v>0</v>
      </c>
      <c r="N167" s="77"/>
    </row>
    <row r="168" spans="2:15" s="25" customFormat="1" x14ac:dyDescent="0.3">
      <c r="B168" s="5">
        <f ca="1">MAX($B$5:B166)+1</f>
        <v>23</v>
      </c>
      <c r="C168" s="23" t="s">
        <v>182</v>
      </c>
      <c r="D168" s="6" t="s">
        <v>41</v>
      </c>
      <c r="E168" s="6"/>
      <c r="F168" s="7">
        <v>70</v>
      </c>
      <c r="G168" s="8"/>
      <c r="H168" s="9"/>
      <c r="I168" s="10"/>
      <c r="J168" s="9"/>
      <c r="K168" s="10"/>
      <c r="L168" s="9"/>
      <c r="M168" s="11">
        <f t="shared" ref="M168:M170" si="28">L168+J168+H168</f>
        <v>0</v>
      </c>
      <c r="N168" s="59"/>
      <c r="O168" s="27"/>
    </row>
    <row r="169" spans="2:15" s="25" customFormat="1" x14ac:dyDescent="0.3">
      <c r="B169" s="12"/>
      <c r="C169" s="13" t="s">
        <v>24</v>
      </c>
      <c r="D169" s="14" t="s">
        <v>41</v>
      </c>
      <c r="E169" s="12">
        <v>1</v>
      </c>
      <c r="F169" s="15">
        <f>F168*E169</f>
        <v>70</v>
      </c>
      <c r="G169" s="16"/>
      <c r="H169" s="16"/>
      <c r="I169" s="16"/>
      <c r="J169" s="16">
        <f>I169*F169</f>
        <v>0</v>
      </c>
      <c r="K169" s="16"/>
      <c r="L169" s="16"/>
      <c r="M169" s="16">
        <f t="shared" si="28"/>
        <v>0</v>
      </c>
      <c r="N169" s="121"/>
      <c r="O169" s="27"/>
    </row>
    <row r="170" spans="2:15" s="25" customFormat="1" x14ac:dyDescent="0.3">
      <c r="B170" s="12"/>
      <c r="C170" s="13" t="s">
        <v>37</v>
      </c>
      <c r="D170" s="14"/>
      <c r="E170" s="12"/>
      <c r="F170" s="15"/>
      <c r="G170" s="16"/>
      <c r="H170" s="16"/>
      <c r="I170" s="16"/>
      <c r="J170" s="16"/>
      <c r="K170" s="16"/>
      <c r="L170" s="16"/>
      <c r="M170" s="16">
        <f t="shared" si="28"/>
        <v>0</v>
      </c>
      <c r="N170" s="59"/>
      <c r="O170" s="27"/>
    </row>
    <row r="171" spans="2:15" s="25" customFormat="1" x14ac:dyDescent="0.3">
      <c r="B171" s="12"/>
      <c r="C171" s="13" t="s">
        <v>162</v>
      </c>
      <c r="D171" s="14" t="s">
        <v>41</v>
      </c>
      <c r="E171" s="12">
        <v>1.05</v>
      </c>
      <c r="F171" s="15">
        <f>F168*1.13*E171</f>
        <v>83.054999999999993</v>
      </c>
      <c r="G171" s="16"/>
      <c r="H171" s="16">
        <f t="shared" ref="H171:H182" si="29">G171*F171</f>
        <v>0</v>
      </c>
      <c r="I171" s="16"/>
      <c r="J171" s="16"/>
      <c r="K171" s="16"/>
      <c r="L171" s="16"/>
      <c r="M171" s="16">
        <f t="shared" ref="M171:M174" si="30">H171+J171+L171</f>
        <v>0</v>
      </c>
      <c r="N171" s="59"/>
      <c r="O171" s="27"/>
    </row>
    <row r="172" spans="2:15" s="25" customFormat="1" x14ac:dyDescent="0.3">
      <c r="B172" s="12"/>
      <c r="C172" s="13" t="s">
        <v>163</v>
      </c>
      <c r="D172" s="14" t="s">
        <v>41</v>
      </c>
      <c r="E172" s="12">
        <v>1.05</v>
      </c>
      <c r="F172" s="15">
        <f>F168*2*E172</f>
        <v>147</v>
      </c>
      <c r="G172" s="16"/>
      <c r="H172" s="16">
        <f t="shared" si="29"/>
        <v>0</v>
      </c>
      <c r="I172" s="16"/>
      <c r="J172" s="16"/>
      <c r="K172" s="16"/>
      <c r="L172" s="16"/>
      <c r="M172" s="16">
        <f t="shared" si="30"/>
        <v>0</v>
      </c>
      <c r="N172" s="59"/>
      <c r="O172" s="27"/>
    </row>
    <row r="173" spans="2:15" s="25" customFormat="1" x14ac:dyDescent="0.3">
      <c r="B173" s="12"/>
      <c r="C173" s="13" t="s">
        <v>164</v>
      </c>
      <c r="D173" s="14" t="s">
        <v>41</v>
      </c>
      <c r="E173" s="12">
        <v>1.05</v>
      </c>
      <c r="F173" s="15">
        <f>F168*1.12*9*E173</f>
        <v>740.88000000000011</v>
      </c>
      <c r="G173" s="16"/>
      <c r="H173" s="16">
        <f t="shared" si="29"/>
        <v>0</v>
      </c>
      <c r="I173" s="16"/>
      <c r="J173" s="16"/>
      <c r="K173" s="16"/>
      <c r="L173" s="16"/>
      <c r="M173" s="16">
        <f t="shared" si="30"/>
        <v>0</v>
      </c>
      <c r="N173" s="59"/>
      <c r="O173" s="27"/>
    </row>
    <row r="174" spans="2:15" s="25" customFormat="1" x14ac:dyDescent="0.3">
      <c r="B174" s="12"/>
      <c r="C174" s="13" t="s">
        <v>165</v>
      </c>
      <c r="D174" s="14" t="s">
        <v>41</v>
      </c>
      <c r="E174" s="12">
        <v>1.05</v>
      </c>
      <c r="F174" s="15">
        <f>F168*1*E174</f>
        <v>73.5</v>
      </c>
      <c r="G174" s="16"/>
      <c r="H174" s="16">
        <f t="shared" si="29"/>
        <v>0</v>
      </c>
      <c r="I174" s="16"/>
      <c r="J174" s="16"/>
      <c r="K174" s="16"/>
      <c r="L174" s="16"/>
      <c r="M174" s="16">
        <f t="shared" si="30"/>
        <v>0</v>
      </c>
      <c r="N174" s="59"/>
      <c r="O174" s="27"/>
    </row>
    <row r="175" spans="2:15" s="25" customFormat="1" x14ac:dyDescent="0.3">
      <c r="B175" s="12"/>
      <c r="C175" s="13" t="s">
        <v>166</v>
      </c>
      <c r="D175" s="14" t="s">
        <v>87</v>
      </c>
      <c r="E175" s="12">
        <v>1</v>
      </c>
      <c r="F175" s="15">
        <f>F168*0.7</f>
        <v>49</v>
      </c>
      <c r="G175" s="107"/>
      <c r="H175" s="16">
        <f t="shared" si="29"/>
        <v>0</v>
      </c>
      <c r="I175" s="16"/>
      <c r="J175" s="16"/>
      <c r="K175" s="16"/>
      <c r="L175" s="16"/>
      <c r="M175" s="16">
        <f>H175+J175+L175</f>
        <v>0</v>
      </c>
      <c r="N175" s="59"/>
      <c r="O175" s="27"/>
    </row>
    <row r="176" spans="2:15" s="25" customFormat="1" x14ac:dyDescent="0.3">
      <c r="B176" s="12"/>
      <c r="C176" s="13" t="s">
        <v>167</v>
      </c>
      <c r="D176" s="14" t="s">
        <v>87</v>
      </c>
      <c r="E176" s="12">
        <v>1</v>
      </c>
      <c r="F176" s="15">
        <f>F175*4</f>
        <v>196</v>
      </c>
      <c r="G176" s="107"/>
      <c r="H176" s="16">
        <f t="shared" si="29"/>
        <v>0</v>
      </c>
      <c r="I176" s="16"/>
      <c r="J176" s="16"/>
      <c r="K176" s="16"/>
      <c r="L176" s="16"/>
      <c r="M176" s="16">
        <f>H176+J176+L176</f>
        <v>0</v>
      </c>
      <c r="N176" s="59"/>
      <c r="O176" s="27"/>
    </row>
    <row r="177" spans="2:15" s="25" customFormat="1" x14ac:dyDescent="0.3">
      <c r="B177" s="12"/>
      <c r="C177" s="13" t="s">
        <v>94</v>
      </c>
      <c r="D177" s="14" t="s">
        <v>73</v>
      </c>
      <c r="E177" s="12">
        <v>0.5</v>
      </c>
      <c r="F177" s="15">
        <f>F168*E177</f>
        <v>35</v>
      </c>
      <c r="G177" s="107"/>
      <c r="H177" s="16">
        <f t="shared" si="29"/>
        <v>0</v>
      </c>
      <c r="I177" s="16"/>
      <c r="J177" s="16"/>
      <c r="K177" s="16"/>
      <c r="L177" s="16"/>
      <c r="M177" s="16">
        <f t="shared" ref="M177:M183" si="31">L177+J177+H177</f>
        <v>0</v>
      </c>
      <c r="N177" s="59"/>
      <c r="O177" s="27"/>
    </row>
    <row r="178" spans="2:15" s="25" customFormat="1" x14ac:dyDescent="0.3">
      <c r="B178" s="12"/>
      <c r="C178" s="13" t="s">
        <v>95</v>
      </c>
      <c r="D178" s="14" t="s">
        <v>87</v>
      </c>
      <c r="E178" s="12">
        <v>0.3</v>
      </c>
      <c r="F178" s="15">
        <f>F168*E178</f>
        <v>21</v>
      </c>
      <c r="G178" s="107"/>
      <c r="H178" s="16">
        <f t="shared" si="29"/>
        <v>0</v>
      </c>
      <c r="I178" s="16"/>
      <c r="J178" s="16"/>
      <c r="K178" s="16"/>
      <c r="L178" s="16"/>
      <c r="M178" s="16">
        <f t="shared" si="31"/>
        <v>0</v>
      </c>
      <c r="N178" s="59"/>
      <c r="O178" s="27"/>
    </row>
    <row r="179" spans="2:15" s="25" customFormat="1" x14ac:dyDescent="0.3">
      <c r="B179" s="12"/>
      <c r="C179" s="13" t="s">
        <v>168</v>
      </c>
      <c r="D179" s="14" t="s">
        <v>73</v>
      </c>
      <c r="E179" s="12">
        <v>0.2</v>
      </c>
      <c r="F179" s="15">
        <f>(0.08*2+0.04*2)*F171*E179</f>
        <v>3.9866399999999995</v>
      </c>
      <c r="G179" s="16"/>
      <c r="H179" s="16">
        <f t="shared" si="29"/>
        <v>0</v>
      </c>
      <c r="I179" s="16"/>
      <c r="J179" s="16"/>
      <c r="K179" s="16"/>
      <c r="L179" s="16"/>
      <c r="M179" s="16">
        <f t="shared" si="31"/>
        <v>0</v>
      </c>
      <c r="N179" s="59"/>
      <c r="O179" s="27"/>
    </row>
    <row r="180" spans="2:15" s="25" customFormat="1" x14ac:dyDescent="0.3">
      <c r="B180" s="12"/>
      <c r="C180" s="13" t="s">
        <v>169</v>
      </c>
      <c r="D180" s="14" t="s">
        <v>73</v>
      </c>
      <c r="E180" s="12">
        <v>0.15</v>
      </c>
      <c r="F180" s="15">
        <f>F179</f>
        <v>3.9866399999999995</v>
      </c>
      <c r="G180" s="16"/>
      <c r="H180" s="16">
        <f t="shared" si="29"/>
        <v>0</v>
      </c>
      <c r="I180" s="16"/>
      <c r="J180" s="16"/>
      <c r="K180" s="16"/>
      <c r="L180" s="16"/>
      <c r="M180" s="16">
        <f t="shared" si="31"/>
        <v>0</v>
      </c>
      <c r="N180" s="59"/>
      <c r="O180" s="27"/>
    </row>
    <row r="181" spans="2:15" s="25" customFormat="1" x14ac:dyDescent="0.3">
      <c r="B181" s="12"/>
      <c r="C181" s="13" t="s">
        <v>170</v>
      </c>
      <c r="D181" s="14" t="s">
        <v>73</v>
      </c>
      <c r="E181" s="12">
        <v>0.2</v>
      </c>
      <c r="F181" s="15">
        <f>(0.08*2+0.01*2)*F172*E181+(0.08*2+0.006*2)*F173*E181+(0.025*2+0.01*2)*F174*E181</f>
        <v>31.807272000000008</v>
      </c>
      <c r="G181" s="16"/>
      <c r="H181" s="16">
        <f t="shared" si="29"/>
        <v>0</v>
      </c>
      <c r="I181" s="16"/>
      <c r="J181" s="16"/>
      <c r="K181" s="16"/>
      <c r="L181" s="16"/>
      <c r="M181" s="16">
        <f t="shared" si="31"/>
        <v>0</v>
      </c>
      <c r="N181" s="59"/>
      <c r="O181" s="27"/>
    </row>
    <row r="182" spans="2:15" s="25" customFormat="1" x14ac:dyDescent="0.3">
      <c r="B182" s="12"/>
      <c r="C182" s="13" t="s">
        <v>171</v>
      </c>
      <c r="D182" s="14" t="s">
        <v>73</v>
      </c>
      <c r="E182" s="12">
        <v>0.15</v>
      </c>
      <c r="F182" s="15">
        <f>F181</f>
        <v>31.807272000000008</v>
      </c>
      <c r="G182" s="16"/>
      <c r="H182" s="16">
        <f t="shared" si="29"/>
        <v>0</v>
      </c>
      <c r="I182" s="16"/>
      <c r="J182" s="16"/>
      <c r="K182" s="16"/>
      <c r="L182" s="16"/>
      <c r="M182" s="16">
        <f t="shared" si="31"/>
        <v>0</v>
      </c>
      <c r="N182" s="59"/>
      <c r="O182" s="27"/>
    </row>
    <row r="183" spans="2:15" s="25" customFormat="1" x14ac:dyDescent="0.3">
      <c r="B183" s="12"/>
      <c r="C183" s="13" t="s">
        <v>47</v>
      </c>
      <c r="D183" s="14" t="s">
        <v>43</v>
      </c>
      <c r="E183" s="12"/>
      <c r="F183" s="15"/>
      <c r="G183" s="16"/>
      <c r="H183" s="16">
        <f>SUM(H171:H182)*0.01</f>
        <v>0</v>
      </c>
      <c r="I183" s="16"/>
      <c r="J183" s="16"/>
      <c r="K183" s="16"/>
      <c r="L183" s="16"/>
      <c r="M183" s="16">
        <f t="shared" si="31"/>
        <v>0</v>
      </c>
      <c r="N183" s="59"/>
      <c r="O183" s="27"/>
    </row>
    <row r="184" spans="2:15" s="27" customFormat="1" x14ac:dyDescent="0.3">
      <c r="B184" s="5">
        <f ca="1">MAX($B$5:B167)+1</f>
        <v>24</v>
      </c>
      <c r="C184" s="23" t="s">
        <v>97</v>
      </c>
      <c r="D184" s="6" t="s">
        <v>98</v>
      </c>
      <c r="E184" s="6"/>
      <c r="F184" s="7">
        <v>1</v>
      </c>
      <c r="G184" s="8"/>
      <c r="H184" s="9"/>
      <c r="I184" s="10"/>
      <c r="J184" s="9"/>
      <c r="K184" s="10"/>
      <c r="L184" s="9"/>
      <c r="M184" s="11">
        <f t="shared" si="26"/>
        <v>0</v>
      </c>
      <c r="N184" s="59"/>
    </row>
    <row r="185" spans="2:15" s="27" customFormat="1" ht="13.8" x14ac:dyDescent="0.3">
      <c r="B185" s="12"/>
      <c r="C185" s="13" t="s">
        <v>24</v>
      </c>
      <c r="D185" s="14" t="s">
        <v>98</v>
      </c>
      <c r="E185" s="12">
        <v>1</v>
      </c>
      <c r="F185" s="15">
        <f>E185*F184</f>
        <v>1</v>
      </c>
      <c r="G185" s="16"/>
      <c r="H185" s="16">
        <f>G185*F185</f>
        <v>0</v>
      </c>
      <c r="I185" s="16"/>
      <c r="J185" s="16"/>
      <c r="K185" s="16"/>
      <c r="L185" s="16"/>
      <c r="M185" s="16">
        <f>H185+J185+L185</f>
        <v>0</v>
      </c>
      <c r="N185" s="49"/>
      <c r="O185" s="119"/>
    </row>
    <row r="186" spans="2:15" s="25" customFormat="1" x14ac:dyDescent="0.3">
      <c r="B186" s="32"/>
      <c r="C186" s="33" t="s">
        <v>16</v>
      </c>
      <c r="D186" s="32"/>
      <c r="E186" s="33"/>
      <c r="F186" s="32"/>
      <c r="G186" s="32"/>
      <c r="H186" s="34">
        <f>SUM(H8:H185)</f>
        <v>0</v>
      </c>
      <c r="I186" s="34"/>
      <c r="J186" s="34">
        <f>SUM(J8:J185)</f>
        <v>0</v>
      </c>
      <c r="K186" s="34"/>
      <c r="L186" s="34">
        <f>SUM(L8:L185)</f>
        <v>0</v>
      </c>
      <c r="M186" s="34">
        <f>SUM(M8:M185)</f>
        <v>0</v>
      </c>
      <c r="N186" s="46"/>
    </row>
    <row r="187" spans="2:15" s="25" customFormat="1" x14ac:dyDescent="0.3">
      <c r="B187" s="12"/>
      <c r="C187" s="12" t="s">
        <v>99</v>
      </c>
      <c r="D187" s="18">
        <v>0</v>
      </c>
      <c r="E187" s="12"/>
      <c r="F187" s="12"/>
      <c r="G187" s="12"/>
      <c r="H187" s="12"/>
      <c r="I187" s="12"/>
      <c r="J187" s="12"/>
      <c r="K187" s="12"/>
      <c r="L187" s="12"/>
      <c r="M187" s="21">
        <f>H186*D187</f>
        <v>0</v>
      </c>
      <c r="N187" s="46"/>
    </row>
    <row r="188" spans="2:15" s="25" customFormat="1" x14ac:dyDescent="0.3">
      <c r="B188" s="12"/>
      <c r="C188" s="19" t="s">
        <v>16</v>
      </c>
      <c r="D188" s="20"/>
      <c r="E188" s="19"/>
      <c r="F188" s="19"/>
      <c r="G188" s="19"/>
      <c r="H188" s="19"/>
      <c r="I188" s="19"/>
      <c r="J188" s="19"/>
      <c r="K188" s="19"/>
      <c r="L188" s="19"/>
      <c r="M188" s="22">
        <f>M187+M186</f>
        <v>0</v>
      </c>
      <c r="N188" s="46"/>
    </row>
    <row r="189" spans="2:15" s="25" customFormat="1" x14ac:dyDescent="0.3">
      <c r="B189" s="12"/>
      <c r="C189" s="12" t="s">
        <v>100</v>
      </c>
      <c r="D189" s="18">
        <v>0</v>
      </c>
      <c r="E189" s="12"/>
      <c r="F189" s="12"/>
      <c r="G189" s="12"/>
      <c r="H189" s="12"/>
      <c r="I189" s="12"/>
      <c r="J189" s="12"/>
      <c r="K189" s="12"/>
      <c r="L189" s="12"/>
      <c r="M189" s="21">
        <f>M188*D189</f>
        <v>0</v>
      </c>
      <c r="N189" s="46"/>
    </row>
    <row r="190" spans="2:15" s="25" customFormat="1" x14ac:dyDescent="0.3">
      <c r="B190" s="12"/>
      <c r="C190" s="19" t="s">
        <v>16</v>
      </c>
      <c r="D190" s="20"/>
      <c r="E190" s="19"/>
      <c r="F190" s="19"/>
      <c r="G190" s="19"/>
      <c r="H190" s="19"/>
      <c r="I190" s="19"/>
      <c r="J190" s="19"/>
      <c r="K190" s="19"/>
      <c r="L190" s="19"/>
      <c r="M190" s="22">
        <f>M188+M189</f>
        <v>0</v>
      </c>
      <c r="N190" s="46"/>
    </row>
    <row r="191" spans="2:15" s="25" customFormat="1" x14ac:dyDescent="0.3">
      <c r="B191" s="12"/>
      <c r="C191" s="12" t="s">
        <v>101</v>
      </c>
      <c r="D191" s="18">
        <v>0</v>
      </c>
      <c r="E191" s="12"/>
      <c r="F191" s="12"/>
      <c r="G191" s="12"/>
      <c r="H191" s="12"/>
      <c r="I191" s="12"/>
      <c r="J191" s="12"/>
      <c r="K191" s="12"/>
      <c r="L191" s="12"/>
      <c r="M191" s="21">
        <f>M190*D191</f>
        <v>0</v>
      </c>
      <c r="N191" s="46"/>
    </row>
    <row r="192" spans="2:15" s="25" customFormat="1" x14ac:dyDescent="0.3">
      <c r="B192" s="12"/>
      <c r="C192" s="19" t="s">
        <v>16</v>
      </c>
      <c r="D192" s="20"/>
      <c r="E192" s="19"/>
      <c r="F192" s="19"/>
      <c r="G192" s="19"/>
      <c r="H192" s="19"/>
      <c r="I192" s="19"/>
      <c r="J192" s="19"/>
      <c r="K192" s="19"/>
      <c r="L192" s="19"/>
      <c r="M192" s="22">
        <f>M190+M191</f>
        <v>0</v>
      </c>
      <c r="N192" s="46"/>
    </row>
    <row r="193" spans="2:14" s="25" customFormat="1" x14ac:dyDescent="0.3">
      <c r="B193" s="12"/>
      <c r="C193" s="12" t="s">
        <v>102</v>
      </c>
      <c r="D193" s="18">
        <v>0</v>
      </c>
      <c r="E193" s="12"/>
      <c r="F193" s="12"/>
      <c r="G193" s="12"/>
      <c r="H193" s="12"/>
      <c r="I193" s="12"/>
      <c r="J193" s="12"/>
      <c r="K193" s="12"/>
      <c r="L193" s="12"/>
      <c r="M193" s="21">
        <f>M192*D193</f>
        <v>0</v>
      </c>
      <c r="N193" s="46"/>
    </row>
    <row r="194" spans="2:14" s="25" customFormat="1" x14ac:dyDescent="0.3">
      <c r="B194" s="12"/>
      <c r="C194" s="19" t="s">
        <v>16</v>
      </c>
      <c r="D194" s="20"/>
      <c r="E194" s="19"/>
      <c r="F194" s="19"/>
      <c r="G194" s="19"/>
      <c r="H194" s="19"/>
      <c r="I194" s="19"/>
      <c r="J194" s="19"/>
      <c r="K194" s="19"/>
      <c r="L194" s="19"/>
      <c r="M194" s="22">
        <f>M192+M193</f>
        <v>0</v>
      </c>
      <c r="N194" s="46"/>
    </row>
    <row r="195" spans="2:14" s="25" customFormat="1" x14ac:dyDescent="0.3">
      <c r="B195" s="12"/>
      <c r="C195" s="12" t="s">
        <v>103</v>
      </c>
      <c r="D195" s="18">
        <v>0</v>
      </c>
      <c r="E195" s="12"/>
      <c r="F195" s="12"/>
      <c r="G195" s="12"/>
      <c r="H195" s="12"/>
      <c r="I195" s="12"/>
      <c r="J195" s="12"/>
      <c r="K195" s="12"/>
      <c r="L195" s="12"/>
      <c r="M195" s="21">
        <f>M194*D195</f>
        <v>0</v>
      </c>
      <c r="N195" s="46"/>
    </row>
    <row r="196" spans="2:14" s="25" customFormat="1" x14ac:dyDescent="0.3">
      <c r="B196" s="35"/>
      <c r="C196" s="36" t="s">
        <v>16</v>
      </c>
      <c r="D196" s="35"/>
      <c r="E196" s="36"/>
      <c r="F196" s="35"/>
      <c r="G196" s="35"/>
      <c r="H196" s="37"/>
      <c r="I196" s="38"/>
      <c r="J196" s="38"/>
      <c r="K196" s="38"/>
      <c r="L196" s="38"/>
      <c r="M196" s="39">
        <f>M195+M194</f>
        <v>0</v>
      </c>
      <c r="N196" s="46"/>
    </row>
  </sheetData>
  <autoFilter ref="C4:C196" xr:uid="{9A59C9B0-F765-455A-93B9-53D30CDCA6B8}"/>
  <mergeCells count="9">
    <mergeCell ref="I4:J4"/>
    <mergeCell ref="K4:L4"/>
    <mergeCell ref="M4:M5"/>
    <mergeCell ref="B4:B5"/>
    <mergeCell ref="C4:C5"/>
    <mergeCell ref="D4:D5"/>
    <mergeCell ref="E4:E5"/>
    <mergeCell ref="F4:F5"/>
    <mergeCell ref="G4:H4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FC89B-3837-4DF6-ACD2-2C11BD33D961}">
  <dimension ref="A2:N52"/>
  <sheetViews>
    <sheetView showGridLines="0" topLeftCell="A10" workbookViewId="0">
      <selection activeCell="K6" sqref="K6:K38"/>
    </sheetView>
  </sheetViews>
  <sheetFormatPr defaultColWidth="8.77734375" defaultRowHeight="14.4" x14ac:dyDescent="0.3"/>
  <cols>
    <col min="1" max="1" width="3.77734375" style="25" customWidth="1"/>
    <col min="2" max="2" width="8.77734375" style="25"/>
    <col min="3" max="3" width="88.77734375" style="25" customWidth="1"/>
    <col min="4" max="6" width="8.77734375" style="25"/>
    <col min="7" max="7" width="11.21875" style="25" bestFit="1" customWidth="1"/>
    <col min="8" max="8" width="11" style="25" bestFit="1" customWidth="1"/>
    <col min="9" max="9" width="8.77734375" style="25"/>
    <col min="10" max="10" width="10" style="25" bestFit="1" customWidth="1"/>
    <col min="11" max="11" width="8.77734375" style="25"/>
    <col min="12" max="12" width="11" style="25" bestFit="1" customWidth="1"/>
    <col min="13" max="13" width="16" style="25" bestFit="1" customWidth="1"/>
    <col min="14" max="16384" width="8.77734375" style="25"/>
  </cols>
  <sheetData>
    <row r="2" spans="2:14" s="1" customFormat="1" x14ac:dyDescent="0.3">
      <c r="B2" s="129" t="s">
        <v>6</v>
      </c>
      <c r="C2" s="131" t="s">
        <v>7</v>
      </c>
      <c r="D2" s="131" t="s">
        <v>8</v>
      </c>
      <c r="E2" s="131" t="s">
        <v>9</v>
      </c>
      <c r="F2" s="131" t="s">
        <v>10</v>
      </c>
      <c r="G2" s="126" t="s">
        <v>11</v>
      </c>
      <c r="H2" s="126"/>
      <c r="I2" s="126" t="s">
        <v>12</v>
      </c>
      <c r="J2" s="126"/>
      <c r="K2" s="126" t="s">
        <v>13</v>
      </c>
      <c r="L2" s="126"/>
      <c r="M2" s="127" t="s">
        <v>14</v>
      </c>
    </row>
    <row r="3" spans="2:14" s="1" customFormat="1" ht="15.6" customHeight="1" x14ac:dyDescent="0.3">
      <c r="B3" s="130"/>
      <c r="C3" s="132"/>
      <c r="D3" s="132"/>
      <c r="E3" s="132"/>
      <c r="F3" s="133"/>
      <c r="G3" s="2" t="s">
        <v>15</v>
      </c>
      <c r="H3" s="2" t="s">
        <v>16</v>
      </c>
      <c r="I3" s="2" t="s">
        <v>15</v>
      </c>
      <c r="J3" s="2" t="s">
        <v>16</v>
      </c>
      <c r="K3" s="2" t="s">
        <v>15</v>
      </c>
      <c r="L3" s="2" t="s">
        <v>16</v>
      </c>
      <c r="M3" s="128"/>
    </row>
    <row r="4" spans="2:14" s="3" customFormat="1" x14ac:dyDescent="0.3">
      <c r="B4" s="4">
        <v>1</v>
      </c>
      <c r="C4" s="4">
        <v>2</v>
      </c>
      <c r="D4" s="4">
        <v>3</v>
      </c>
      <c r="E4" s="4">
        <v>4</v>
      </c>
      <c r="F4" s="4">
        <v>5</v>
      </c>
      <c r="G4" s="4">
        <v>6</v>
      </c>
      <c r="H4" s="4">
        <v>7</v>
      </c>
      <c r="I4" s="4">
        <v>8</v>
      </c>
      <c r="J4" s="4">
        <v>9</v>
      </c>
      <c r="K4" s="4">
        <v>10</v>
      </c>
      <c r="L4" s="4">
        <v>11</v>
      </c>
      <c r="M4" s="4">
        <v>12</v>
      </c>
    </row>
    <row r="5" spans="2:14" s="3" customFormat="1" x14ac:dyDescent="0.3">
      <c r="B5" s="5"/>
      <c r="C5" s="23"/>
      <c r="D5" s="6"/>
      <c r="E5" s="6"/>
      <c r="F5" s="7"/>
      <c r="G5" s="8"/>
      <c r="H5" s="9"/>
      <c r="I5" s="10"/>
      <c r="J5" s="9"/>
      <c r="K5" s="10"/>
      <c r="L5" s="9"/>
      <c r="M5" s="11"/>
    </row>
    <row r="6" spans="2:14" s="3" customFormat="1" x14ac:dyDescent="0.3">
      <c r="B6" s="5">
        <v>1</v>
      </c>
      <c r="C6" s="23" t="s">
        <v>104</v>
      </c>
      <c r="D6" s="6" t="s">
        <v>87</v>
      </c>
      <c r="E6" s="6"/>
      <c r="F6" s="7">
        <v>144</v>
      </c>
      <c r="G6" s="8"/>
      <c r="H6" s="9"/>
      <c r="I6" s="10"/>
      <c r="J6" s="9"/>
      <c r="K6" s="10"/>
      <c r="L6" s="9"/>
      <c r="M6" s="11"/>
      <c r="N6" s="43"/>
    </row>
    <row r="7" spans="2:14" s="3" customFormat="1" ht="13.8" x14ac:dyDescent="0.3">
      <c r="B7" s="12"/>
      <c r="C7" s="13" t="s">
        <v>24</v>
      </c>
      <c r="D7" s="14" t="s">
        <v>87</v>
      </c>
      <c r="E7" s="12">
        <v>1</v>
      </c>
      <c r="F7" s="15">
        <f>F6*E7</f>
        <v>144</v>
      </c>
      <c r="G7" s="16"/>
      <c r="H7" s="16"/>
      <c r="I7" s="16"/>
      <c r="J7" s="16">
        <f>I7*F7</f>
        <v>0</v>
      </c>
      <c r="K7" s="16"/>
      <c r="L7" s="16"/>
      <c r="M7" s="16">
        <f>L7+J7+H7</f>
        <v>0</v>
      </c>
      <c r="N7" s="43"/>
    </row>
    <row r="8" spans="2:14" s="3" customFormat="1" x14ac:dyDescent="0.3">
      <c r="B8" s="5">
        <f>MAX($B$5:B7)+1</f>
        <v>2</v>
      </c>
      <c r="C8" s="23" t="s">
        <v>105</v>
      </c>
      <c r="D8" s="6" t="s">
        <v>87</v>
      </c>
      <c r="E8" s="6"/>
      <c r="F8" s="7">
        <v>151</v>
      </c>
      <c r="G8" s="8"/>
      <c r="H8" s="9"/>
      <c r="I8" s="10"/>
      <c r="J8" s="9"/>
      <c r="K8" s="10"/>
      <c r="L8" s="9"/>
      <c r="M8" s="11"/>
      <c r="N8" s="43"/>
    </row>
    <row r="9" spans="2:14" s="3" customFormat="1" ht="13.8" x14ac:dyDescent="0.3">
      <c r="B9" s="12"/>
      <c r="C9" s="13" t="s">
        <v>24</v>
      </c>
      <c r="D9" s="14" t="s">
        <v>87</v>
      </c>
      <c r="E9" s="12">
        <v>1</v>
      </c>
      <c r="F9" s="15">
        <f>F8*E9</f>
        <v>151</v>
      </c>
      <c r="G9" s="16"/>
      <c r="H9" s="16"/>
      <c r="I9" s="16"/>
      <c r="J9" s="16">
        <f>I9*F9</f>
        <v>0</v>
      </c>
      <c r="K9" s="16"/>
      <c r="L9" s="16"/>
      <c r="M9" s="16">
        <f>L9+J9+H9</f>
        <v>0</v>
      </c>
      <c r="N9" s="43"/>
    </row>
    <row r="10" spans="2:14" s="3" customFormat="1" x14ac:dyDescent="0.3">
      <c r="B10" s="5">
        <f>MAX($B$5:B9)+1</f>
        <v>3</v>
      </c>
      <c r="C10" s="23" t="s">
        <v>106</v>
      </c>
      <c r="D10" s="6" t="s">
        <v>87</v>
      </c>
      <c r="E10" s="6"/>
      <c r="F10" s="7">
        <v>74</v>
      </c>
      <c r="G10" s="8"/>
      <c r="H10" s="9"/>
      <c r="I10" s="10"/>
      <c r="J10" s="9"/>
      <c r="K10" s="10"/>
      <c r="L10" s="9"/>
      <c r="M10" s="11"/>
      <c r="N10" s="43"/>
    </row>
    <row r="11" spans="2:14" s="3" customFormat="1" ht="13.8" x14ac:dyDescent="0.3">
      <c r="B11" s="12"/>
      <c r="C11" s="13" t="s">
        <v>24</v>
      </c>
      <c r="D11" s="14" t="s">
        <v>87</v>
      </c>
      <c r="E11" s="12">
        <v>1</v>
      </c>
      <c r="F11" s="15">
        <f>F10*E11</f>
        <v>74</v>
      </c>
      <c r="G11" s="16"/>
      <c r="H11" s="16"/>
      <c r="I11" s="16"/>
      <c r="J11" s="16">
        <f>I11*F11</f>
        <v>0</v>
      </c>
      <c r="K11" s="16"/>
      <c r="L11" s="16"/>
      <c r="M11" s="16">
        <f>L11+J11+H11</f>
        <v>0</v>
      </c>
      <c r="N11" s="43"/>
    </row>
    <row r="12" spans="2:14" s="3" customFormat="1" x14ac:dyDescent="0.3">
      <c r="B12" s="5">
        <f>MAX($B$5:B11)+1</f>
        <v>4</v>
      </c>
      <c r="C12" s="23" t="s">
        <v>107</v>
      </c>
      <c r="D12" s="6" t="s">
        <v>87</v>
      </c>
      <c r="E12" s="6"/>
      <c r="F12" s="7">
        <v>87</v>
      </c>
      <c r="G12" s="8"/>
      <c r="H12" s="9"/>
      <c r="I12" s="10"/>
      <c r="J12" s="9"/>
      <c r="K12" s="10"/>
      <c r="L12" s="9"/>
      <c r="M12" s="11"/>
      <c r="N12" s="43"/>
    </row>
    <row r="13" spans="2:14" s="3" customFormat="1" ht="13.8" x14ac:dyDescent="0.3">
      <c r="B13" s="12"/>
      <c r="C13" s="13" t="s">
        <v>24</v>
      </c>
      <c r="D13" s="14" t="s">
        <v>87</v>
      </c>
      <c r="E13" s="12">
        <v>1</v>
      </c>
      <c r="F13" s="15">
        <f>F12*E13</f>
        <v>87</v>
      </c>
      <c r="G13" s="16"/>
      <c r="H13" s="16"/>
      <c r="I13" s="16"/>
      <c r="J13" s="16">
        <f>I13*F13</f>
        <v>0</v>
      </c>
      <c r="K13" s="16"/>
      <c r="L13" s="16"/>
      <c r="M13" s="16">
        <f>L13+J13+H13</f>
        <v>0</v>
      </c>
      <c r="N13" s="43"/>
    </row>
    <row r="14" spans="2:14" s="3" customFormat="1" x14ac:dyDescent="0.3">
      <c r="B14" s="5">
        <f>MAX($B$5:B13)+1</f>
        <v>5</v>
      </c>
      <c r="C14" s="23" t="s">
        <v>108</v>
      </c>
      <c r="D14" s="6" t="s">
        <v>87</v>
      </c>
      <c r="E14" s="6"/>
      <c r="F14" s="7">
        <f>F16</f>
        <v>9</v>
      </c>
      <c r="G14" s="8"/>
      <c r="H14" s="9"/>
      <c r="I14" s="10"/>
      <c r="J14" s="9"/>
      <c r="K14" s="10"/>
      <c r="L14" s="9"/>
      <c r="M14" s="11"/>
      <c r="N14" s="43"/>
    </row>
    <row r="15" spans="2:14" s="3" customFormat="1" ht="13.8" x14ac:dyDescent="0.3">
      <c r="B15" s="12"/>
      <c r="C15" s="13" t="s">
        <v>24</v>
      </c>
      <c r="D15" s="14" t="s">
        <v>87</v>
      </c>
      <c r="E15" s="12">
        <v>1</v>
      </c>
      <c r="F15" s="15">
        <f>F14*E15</f>
        <v>9</v>
      </c>
      <c r="G15" s="16"/>
      <c r="H15" s="16"/>
      <c r="I15" s="16"/>
      <c r="J15" s="16">
        <f>I15*F15</f>
        <v>0</v>
      </c>
      <c r="K15" s="16"/>
      <c r="L15" s="16"/>
      <c r="M15" s="16">
        <f>L15+J15+H15</f>
        <v>0</v>
      </c>
      <c r="N15" s="43"/>
    </row>
    <row r="16" spans="2:14" s="3" customFormat="1" x14ac:dyDescent="0.3">
      <c r="B16" s="5">
        <f>MAX($B$5:B15)+1</f>
        <v>6</v>
      </c>
      <c r="C16" s="23" t="s">
        <v>109</v>
      </c>
      <c r="D16" s="6" t="s">
        <v>87</v>
      </c>
      <c r="E16" s="6"/>
      <c r="F16" s="7">
        <f>F17+F18</f>
        <v>9</v>
      </c>
      <c r="G16" s="8"/>
      <c r="H16" s="9"/>
      <c r="I16" s="10"/>
      <c r="J16" s="9"/>
      <c r="K16" s="10"/>
      <c r="L16" s="9"/>
      <c r="M16" s="11"/>
      <c r="N16" s="43"/>
    </row>
    <row r="17" spans="2:14" s="3" customFormat="1" ht="13.8" x14ac:dyDescent="0.3">
      <c r="B17" s="12"/>
      <c r="C17" s="13" t="s">
        <v>110</v>
      </c>
      <c r="D17" s="14" t="s">
        <v>87</v>
      </c>
      <c r="E17" s="12">
        <v>1</v>
      </c>
      <c r="F17" s="15">
        <v>4</v>
      </c>
      <c r="G17" s="17"/>
      <c r="H17" s="16">
        <f>G17*F17</f>
        <v>0</v>
      </c>
      <c r="I17" s="16"/>
      <c r="J17" s="16"/>
      <c r="K17" s="16"/>
      <c r="L17" s="16"/>
      <c r="M17" s="16">
        <f>L17+J17+H17</f>
        <v>0</v>
      </c>
      <c r="N17" s="43"/>
    </row>
    <row r="18" spans="2:14" s="3" customFormat="1" ht="13.8" x14ac:dyDescent="0.3">
      <c r="B18" s="12"/>
      <c r="C18" s="13" t="s">
        <v>111</v>
      </c>
      <c r="D18" s="14" t="s">
        <v>87</v>
      </c>
      <c r="E18" s="12">
        <v>1</v>
      </c>
      <c r="F18" s="15">
        <v>5</v>
      </c>
      <c r="G18" s="17"/>
      <c r="H18" s="16">
        <f>G18*F18</f>
        <v>0</v>
      </c>
      <c r="I18" s="16"/>
      <c r="J18" s="16"/>
      <c r="K18" s="16"/>
      <c r="L18" s="16"/>
      <c r="M18" s="16">
        <f>L18+J18+H18</f>
        <v>0</v>
      </c>
      <c r="N18" s="43"/>
    </row>
    <row r="19" spans="2:14" s="3" customFormat="1" x14ac:dyDescent="0.3">
      <c r="B19" s="5">
        <f>MAX($B$5:B16)+1</f>
        <v>7</v>
      </c>
      <c r="C19" s="23" t="s">
        <v>112</v>
      </c>
      <c r="D19" s="6" t="s">
        <v>87</v>
      </c>
      <c r="E19" s="6"/>
      <c r="F19" s="7">
        <f>F21</f>
        <v>25</v>
      </c>
      <c r="G19" s="8"/>
      <c r="H19" s="9"/>
      <c r="I19" s="10"/>
      <c r="J19" s="9"/>
      <c r="K19" s="10"/>
      <c r="L19" s="9"/>
      <c r="M19" s="11"/>
      <c r="N19" s="43"/>
    </row>
    <row r="20" spans="2:14" s="3" customFormat="1" ht="13.8" x14ac:dyDescent="0.3">
      <c r="B20" s="12"/>
      <c r="C20" s="13" t="s">
        <v>24</v>
      </c>
      <c r="D20" s="14" t="s">
        <v>87</v>
      </c>
      <c r="E20" s="12">
        <v>1</v>
      </c>
      <c r="F20" s="15">
        <f>F19*E20</f>
        <v>25</v>
      </c>
      <c r="G20" s="16"/>
      <c r="H20" s="16"/>
      <c r="I20" s="16"/>
      <c r="J20" s="16">
        <f>I20*F20</f>
        <v>0</v>
      </c>
      <c r="K20" s="16"/>
      <c r="L20" s="16"/>
      <c r="M20" s="16">
        <f>L20+J20+H20</f>
        <v>0</v>
      </c>
      <c r="N20" s="43"/>
    </row>
    <row r="21" spans="2:14" s="3" customFormat="1" x14ac:dyDescent="0.3">
      <c r="B21" s="5">
        <f>MAX($B$5:B20)+1</f>
        <v>8</v>
      </c>
      <c r="C21" s="23" t="s">
        <v>113</v>
      </c>
      <c r="D21" s="6" t="s">
        <v>87</v>
      </c>
      <c r="E21" s="6"/>
      <c r="F21" s="7">
        <f>F22+F23+F24</f>
        <v>25</v>
      </c>
      <c r="G21" s="8"/>
      <c r="H21" s="9"/>
      <c r="I21" s="10"/>
      <c r="J21" s="9"/>
      <c r="K21" s="10"/>
      <c r="L21" s="9"/>
      <c r="M21" s="11"/>
      <c r="N21" s="43"/>
    </row>
    <row r="22" spans="2:14" s="3" customFormat="1" ht="13.8" x14ac:dyDescent="0.3">
      <c r="B22" s="12"/>
      <c r="C22" s="13" t="s">
        <v>114</v>
      </c>
      <c r="D22" s="14" t="s">
        <v>87</v>
      </c>
      <c r="E22" s="12">
        <v>1</v>
      </c>
      <c r="F22" s="15">
        <v>9</v>
      </c>
      <c r="G22" s="17"/>
      <c r="H22" s="16">
        <f>G22*F22</f>
        <v>0</v>
      </c>
      <c r="I22" s="16"/>
      <c r="J22" s="16"/>
      <c r="K22" s="16"/>
      <c r="L22" s="16"/>
      <c r="M22" s="16">
        <f>L22+J22+H22</f>
        <v>0</v>
      </c>
      <c r="N22" s="43"/>
    </row>
    <row r="23" spans="2:14" s="3" customFormat="1" ht="13.8" x14ac:dyDescent="0.3">
      <c r="B23" s="12"/>
      <c r="C23" s="13" t="s">
        <v>115</v>
      </c>
      <c r="D23" s="14" t="s">
        <v>87</v>
      </c>
      <c r="E23" s="12">
        <v>1</v>
      </c>
      <c r="F23" s="15">
        <v>4</v>
      </c>
      <c r="G23" s="17"/>
      <c r="H23" s="16">
        <f>G23*F23</f>
        <v>0</v>
      </c>
      <c r="I23" s="16"/>
      <c r="J23" s="16"/>
      <c r="K23" s="16"/>
      <c r="L23" s="16"/>
      <c r="M23" s="16">
        <f>L23+J23+H23</f>
        <v>0</v>
      </c>
      <c r="N23" s="43"/>
    </row>
    <row r="24" spans="2:14" s="3" customFormat="1" ht="13.8" x14ac:dyDescent="0.3">
      <c r="B24" s="12"/>
      <c r="C24" s="13" t="s">
        <v>116</v>
      </c>
      <c r="D24" s="14" t="s">
        <v>87</v>
      </c>
      <c r="E24" s="12">
        <v>1</v>
      </c>
      <c r="F24" s="15">
        <v>12</v>
      </c>
      <c r="G24" s="17"/>
      <c r="H24" s="16">
        <f>G24*F24</f>
        <v>0</v>
      </c>
      <c r="I24" s="16"/>
      <c r="J24" s="16"/>
      <c r="K24" s="16"/>
      <c r="L24" s="16"/>
      <c r="M24" s="16">
        <f>L24+J24+H24</f>
        <v>0</v>
      </c>
      <c r="N24" s="43"/>
    </row>
    <row r="25" spans="2:14" s="26" customFormat="1" x14ac:dyDescent="0.3">
      <c r="B25" s="5">
        <f>MAX($B$5:B21)+1</f>
        <v>9</v>
      </c>
      <c r="C25" s="23" t="s">
        <v>117</v>
      </c>
      <c r="D25" s="6" t="s">
        <v>33</v>
      </c>
      <c r="E25" s="6"/>
      <c r="F25" s="7">
        <v>4060</v>
      </c>
      <c r="G25" s="8"/>
      <c r="H25" s="9"/>
      <c r="I25" s="10"/>
      <c r="J25" s="9"/>
      <c r="K25" s="10"/>
      <c r="L25" s="9"/>
      <c r="M25" s="11"/>
      <c r="N25" s="48"/>
    </row>
    <row r="26" spans="2:14" s="26" customFormat="1" ht="13.8" x14ac:dyDescent="0.3">
      <c r="B26" s="12"/>
      <c r="C26" s="13" t="s">
        <v>24</v>
      </c>
      <c r="D26" s="14" t="s">
        <v>118</v>
      </c>
      <c r="E26" s="12">
        <v>0.38300000000000001</v>
      </c>
      <c r="F26" s="15">
        <f>E26*F25</f>
        <v>1554.98</v>
      </c>
      <c r="G26" s="16"/>
      <c r="H26" s="16"/>
      <c r="I26" s="16"/>
      <c r="J26" s="16">
        <f>I26*F26</f>
        <v>0</v>
      </c>
      <c r="K26" s="16"/>
      <c r="L26" s="16"/>
      <c r="M26" s="16">
        <f>L26+J26+H26</f>
        <v>0</v>
      </c>
      <c r="N26" s="48"/>
    </row>
    <row r="27" spans="2:14" s="26" customFormat="1" ht="13.8" x14ac:dyDescent="0.3">
      <c r="B27" s="12"/>
      <c r="C27" s="13" t="s">
        <v>37</v>
      </c>
      <c r="D27" s="14"/>
      <c r="E27" s="12"/>
      <c r="F27" s="15"/>
      <c r="G27" s="16"/>
      <c r="H27" s="16"/>
      <c r="I27" s="16"/>
      <c r="J27" s="16"/>
      <c r="K27" s="16"/>
      <c r="L27" s="16"/>
      <c r="M27" s="16">
        <f>L27+J27+H27</f>
        <v>0</v>
      </c>
      <c r="N27" s="48"/>
    </row>
    <row r="28" spans="2:14" s="26" customFormat="1" ht="13.8" x14ac:dyDescent="0.3">
      <c r="B28" s="12"/>
      <c r="C28" s="13" t="s">
        <v>119</v>
      </c>
      <c r="D28" s="14" t="s">
        <v>36</v>
      </c>
      <c r="E28" s="12">
        <v>0.15</v>
      </c>
      <c r="F28" s="15">
        <f>E28*F25</f>
        <v>609</v>
      </c>
      <c r="G28" s="17"/>
      <c r="H28" s="16">
        <f>G28*F28</f>
        <v>0</v>
      </c>
      <c r="I28" s="16"/>
      <c r="J28" s="16"/>
      <c r="K28" s="16"/>
      <c r="L28" s="16"/>
      <c r="M28" s="16">
        <f>L28+J28+H28</f>
        <v>0</v>
      </c>
      <c r="N28" s="48"/>
    </row>
    <row r="29" spans="2:14" s="26" customFormat="1" ht="13.8" x14ac:dyDescent="0.3">
      <c r="B29" s="12"/>
      <c r="C29" s="13" t="s">
        <v>52</v>
      </c>
      <c r="D29" s="14" t="s">
        <v>36</v>
      </c>
      <c r="E29" s="12">
        <v>0.1</v>
      </c>
      <c r="F29" s="15">
        <f>E29*F25</f>
        <v>406</v>
      </c>
      <c r="G29" s="16"/>
      <c r="H29" s="16">
        <f>G29*F29</f>
        <v>0</v>
      </c>
      <c r="I29" s="16"/>
      <c r="J29" s="16"/>
      <c r="K29" s="16"/>
      <c r="L29" s="16"/>
      <c r="M29" s="16">
        <f>L29+J29+H29</f>
        <v>0</v>
      </c>
      <c r="N29" s="48"/>
    </row>
    <row r="30" spans="2:14" s="3" customFormat="1" x14ac:dyDescent="0.3">
      <c r="B30" s="5">
        <f>MAX($B$5:B29)+1</f>
        <v>10</v>
      </c>
      <c r="C30" s="23" t="s">
        <v>120</v>
      </c>
      <c r="D30" s="6" t="s">
        <v>87</v>
      </c>
      <c r="E30" s="6"/>
      <c r="F30" s="7">
        <f>F32</f>
        <v>14</v>
      </c>
      <c r="G30" s="8"/>
      <c r="H30" s="9"/>
      <c r="I30" s="10"/>
      <c r="J30" s="9"/>
      <c r="K30" s="10"/>
      <c r="L30" s="9"/>
      <c r="M30" s="11"/>
      <c r="N30" s="43"/>
    </row>
    <row r="31" spans="2:14" s="3" customFormat="1" ht="13.8" x14ac:dyDescent="0.3">
      <c r="B31" s="12"/>
      <c r="C31" s="13" t="s">
        <v>24</v>
      </c>
      <c r="D31" s="14" t="s">
        <v>87</v>
      </c>
      <c r="E31" s="12">
        <v>1</v>
      </c>
      <c r="F31" s="15">
        <f>F30*E31</f>
        <v>14</v>
      </c>
      <c r="G31" s="16"/>
      <c r="H31" s="16"/>
      <c r="I31" s="16"/>
      <c r="J31" s="16">
        <f>I31*F31</f>
        <v>0</v>
      </c>
      <c r="K31" s="16"/>
      <c r="L31" s="16"/>
      <c r="M31" s="16">
        <f>L31+J31+H31</f>
        <v>0</v>
      </c>
      <c r="N31" s="43"/>
    </row>
    <row r="32" spans="2:14" s="3" customFormat="1" x14ac:dyDescent="0.3">
      <c r="B32" s="5">
        <f>MAX($B$5:B31)+1</f>
        <v>11</v>
      </c>
      <c r="C32" s="23" t="s">
        <v>121</v>
      </c>
      <c r="D32" s="6" t="s">
        <v>87</v>
      </c>
      <c r="E32" s="6"/>
      <c r="F32" s="7">
        <f>F33</f>
        <v>14</v>
      </c>
      <c r="G32" s="8"/>
      <c r="H32" s="9"/>
      <c r="I32" s="10"/>
      <c r="J32" s="9"/>
      <c r="K32" s="10"/>
      <c r="L32" s="9"/>
      <c r="M32" s="11"/>
      <c r="N32" s="43"/>
    </row>
    <row r="33" spans="1:14" s="3" customFormat="1" ht="13.8" x14ac:dyDescent="0.3">
      <c r="B33" s="12"/>
      <c r="C33" s="13" t="s">
        <v>122</v>
      </c>
      <c r="D33" s="14" t="s">
        <v>87</v>
      </c>
      <c r="E33" s="12">
        <v>1</v>
      </c>
      <c r="F33" s="15">
        <v>14</v>
      </c>
      <c r="G33" s="17"/>
      <c r="H33" s="16">
        <f>G33*F33</f>
        <v>0</v>
      </c>
      <c r="I33" s="16"/>
      <c r="J33" s="16"/>
      <c r="K33" s="16"/>
      <c r="L33" s="16"/>
      <c r="M33" s="16">
        <f t="shared" ref="M33:M38" si="0">L33+J33+H33</f>
        <v>0</v>
      </c>
      <c r="N33" s="43"/>
    </row>
    <row r="34" spans="1:14" s="26" customFormat="1" x14ac:dyDescent="0.3">
      <c r="B34" s="5">
        <f>MAX($B$5:B32)+1</f>
        <v>12</v>
      </c>
      <c r="C34" s="23" t="s">
        <v>123</v>
      </c>
      <c r="D34" s="6" t="s">
        <v>33</v>
      </c>
      <c r="E34" s="6"/>
      <c r="F34" s="7">
        <f>F25</f>
        <v>4060</v>
      </c>
      <c r="G34" s="8"/>
      <c r="H34" s="9"/>
      <c r="I34" s="10"/>
      <c r="J34" s="9"/>
      <c r="K34" s="10"/>
      <c r="L34" s="9"/>
      <c r="M34" s="11">
        <f t="shared" si="0"/>
        <v>0</v>
      </c>
      <c r="N34" s="48"/>
    </row>
    <row r="35" spans="1:14" s="26" customFormat="1" ht="13.8" x14ac:dyDescent="0.3">
      <c r="B35" s="12"/>
      <c r="C35" s="13" t="s">
        <v>24</v>
      </c>
      <c r="D35" s="14" t="s">
        <v>33</v>
      </c>
      <c r="E35" s="12">
        <v>1</v>
      </c>
      <c r="F35" s="15">
        <f>E35*F34</f>
        <v>4060</v>
      </c>
      <c r="G35" s="17"/>
      <c r="H35" s="16">
        <f>G35*F35</f>
        <v>0</v>
      </c>
      <c r="I35" s="16"/>
      <c r="J35" s="16"/>
      <c r="K35" s="16"/>
      <c r="L35" s="16"/>
      <c r="M35" s="16">
        <f t="shared" si="0"/>
        <v>0</v>
      </c>
      <c r="N35" s="48"/>
    </row>
    <row r="36" spans="1:14" s="26" customFormat="1" x14ac:dyDescent="0.3">
      <c r="B36" s="5">
        <f>MAX($B$5:B34)+1</f>
        <v>13</v>
      </c>
      <c r="C36" s="23" t="s">
        <v>124</v>
      </c>
      <c r="D36" s="6" t="s">
        <v>125</v>
      </c>
      <c r="E36" s="6"/>
      <c r="F36" s="7">
        <v>15</v>
      </c>
      <c r="G36" s="8"/>
      <c r="H36" s="9"/>
      <c r="I36" s="10"/>
      <c r="J36" s="9"/>
      <c r="K36" s="10"/>
      <c r="L36" s="9"/>
      <c r="M36" s="11">
        <f t="shared" si="0"/>
        <v>0</v>
      </c>
      <c r="N36" s="48"/>
    </row>
    <row r="37" spans="1:14" s="26" customFormat="1" ht="13.8" x14ac:dyDescent="0.3">
      <c r="B37" s="12"/>
      <c r="C37" s="13" t="s">
        <v>42</v>
      </c>
      <c r="D37" s="14" t="s">
        <v>125</v>
      </c>
      <c r="E37" s="12">
        <v>1</v>
      </c>
      <c r="F37" s="15">
        <f>E37*F36</f>
        <v>15</v>
      </c>
      <c r="G37" s="16"/>
      <c r="H37" s="16"/>
      <c r="I37" s="16"/>
      <c r="J37" s="16"/>
      <c r="K37" s="16"/>
      <c r="L37" s="16">
        <f>K37*F37</f>
        <v>0</v>
      </c>
      <c r="M37" s="16">
        <f t="shared" si="0"/>
        <v>0</v>
      </c>
      <c r="N37" s="48"/>
    </row>
    <row r="38" spans="1:14" s="26" customFormat="1" ht="13.8" x14ac:dyDescent="0.3">
      <c r="B38" s="12"/>
      <c r="C38" s="13" t="s">
        <v>126</v>
      </c>
      <c r="D38" s="14" t="s">
        <v>57</v>
      </c>
      <c r="E38" s="12">
        <v>1</v>
      </c>
      <c r="F38" s="15">
        <v>10</v>
      </c>
      <c r="G38" s="16"/>
      <c r="H38" s="16"/>
      <c r="I38" s="16"/>
      <c r="J38" s="16"/>
      <c r="K38" s="16"/>
      <c r="L38" s="16">
        <f>K38*F38</f>
        <v>0</v>
      </c>
      <c r="M38" s="16">
        <f t="shared" si="0"/>
        <v>0</v>
      </c>
      <c r="N38" s="48"/>
    </row>
    <row r="39" spans="1:14" x14ac:dyDescent="0.3">
      <c r="B39" s="28"/>
      <c r="C39" s="29"/>
      <c r="D39" s="28"/>
      <c r="E39" s="30"/>
      <c r="F39" s="31"/>
      <c r="G39" s="30"/>
      <c r="H39" s="31"/>
      <c r="I39" s="30"/>
      <c r="J39" s="31"/>
      <c r="K39" s="30"/>
      <c r="L39" s="31"/>
      <c r="M39" s="31"/>
    </row>
    <row r="40" spans="1:14" x14ac:dyDescent="0.3">
      <c r="B40" s="32"/>
      <c r="C40" s="33" t="s">
        <v>16</v>
      </c>
      <c r="D40" s="32"/>
      <c r="E40" s="33"/>
      <c r="F40" s="32"/>
      <c r="G40" s="32"/>
      <c r="H40" s="34">
        <f>SUM(H5:H39)</f>
        <v>0</v>
      </c>
      <c r="I40" s="34"/>
      <c r="J40" s="34">
        <f>SUM(J5:J39)</f>
        <v>0</v>
      </c>
      <c r="K40" s="34"/>
      <c r="L40" s="34">
        <f>SUM(L5:L39)</f>
        <v>0</v>
      </c>
      <c r="M40" s="34">
        <f>SUM(M5:M39)</f>
        <v>0</v>
      </c>
    </row>
    <row r="41" spans="1:14" s="46" customFormat="1" x14ac:dyDescent="0.3">
      <c r="A41" s="25"/>
      <c r="B41" s="12"/>
      <c r="C41" s="12" t="s">
        <v>99</v>
      </c>
      <c r="D41" s="18">
        <v>0</v>
      </c>
      <c r="E41" s="12"/>
      <c r="F41" s="12"/>
      <c r="G41" s="12"/>
      <c r="H41" s="12"/>
      <c r="I41" s="12"/>
      <c r="J41" s="12"/>
      <c r="K41" s="12"/>
      <c r="L41" s="12"/>
      <c r="M41" s="21">
        <f>H40*D41</f>
        <v>0</v>
      </c>
      <c r="N41" s="25"/>
    </row>
    <row r="42" spans="1:14" s="46" customFormat="1" x14ac:dyDescent="0.3">
      <c r="A42" s="25"/>
      <c r="B42" s="12"/>
      <c r="C42" s="19" t="s">
        <v>16</v>
      </c>
      <c r="D42" s="20"/>
      <c r="E42" s="19"/>
      <c r="F42" s="19"/>
      <c r="G42" s="19"/>
      <c r="H42" s="19"/>
      <c r="I42" s="19"/>
      <c r="J42" s="19"/>
      <c r="K42" s="19"/>
      <c r="L42" s="19"/>
      <c r="M42" s="22">
        <f>M41+M40</f>
        <v>0</v>
      </c>
      <c r="N42" s="25"/>
    </row>
    <row r="43" spans="1:14" s="46" customFormat="1" x14ac:dyDescent="0.3">
      <c r="A43" s="25"/>
      <c r="B43" s="12"/>
      <c r="C43" s="12" t="s">
        <v>100</v>
      </c>
      <c r="D43" s="18">
        <v>0</v>
      </c>
      <c r="E43" s="12"/>
      <c r="F43" s="12"/>
      <c r="G43" s="12"/>
      <c r="H43" s="12"/>
      <c r="I43" s="12"/>
      <c r="J43" s="12"/>
      <c r="K43" s="12"/>
      <c r="L43" s="12"/>
      <c r="M43" s="21">
        <f>M42*D43</f>
        <v>0</v>
      </c>
      <c r="N43" s="25"/>
    </row>
    <row r="44" spans="1:14" s="46" customFormat="1" x14ac:dyDescent="0.3">
      <c r="A44" s="25"/>
      <c r="B44" s="12"/>
      <c r="C44" s="19" t="s">
        <v>16</v>
      </c>
      <c r="D44" s="20"/>
      <c r="E44" s="19"/>
      <c r="F44" s="19"/>
      <c r="G44" s="19"/>
      <c r="H44" s="19"/>
      <c r="I44" s="19"/>
      <c r="J44" s="19"/>
      <c r="K44" s="19"/>
      <c r="L44" s="19"/>
      <c r="M44" s="22">
        <f>M42+M43</f>
        <v>0</v>
      </c>
      <c r="N44" s="25"/>
    </row>
    <row r="45" spans="1:14" s="46" customFormat="1" x14ac:dyDescent="0.3">
      <c r="A45" s="25"/>
      <c r="B45" s="12"/>
      <c r="C45" s="12" t="s">
        <v>101</v>
      </c>
      <c r="D45" s="18">
        <v>0</v>
      </c>
      <c r="E45" s="12"/>
      <c r="F45" s="12"/>
      <c r="G45" s="12"/>
      <c r="H45" s="12"/>
      <c r="I45" s="12"/>
      <c r="J45" s="12"/>
      <c r="K45" s="12"/>
      <c r="L45" s="12"/>
      <c r="M45" s="21">
        <f>M44*D45</f>
        <v>0</v>
      </c>
      <c r="N45" s="25"/>
    </row>
    <row r="46" spans="1:14" s="46" customFormat="1" x14ac:dyDescent="0.3">
      <c r="A46" s="25"/>
      <c r="B46" s="12"/>
      <c r="C46" s="19" t="s">
        <v>16</v>
      </c>
      <c r="D46" s="20"/>
      <c r="E46" s="19"/>
      <c r="F46" s="19"/>
      <c r="G46" s="19"/>
      <c r="H46" s="19"/>
      <c r="I46" s="19"/>
      <c r="J46" s="19"/>
      <c r="K46" s="19"/>
      <c r="L46" s="19"/>
      <c r="M46" s="22">
        <f>M44+M45</f>
        <v>0</v>
      </c>
      <c r="N46" s="25"/>
    </row>
    <row r="47" spans="1:14" s="46" customFormat="1" x14ac:dyDescent="0.3">
      <c r="A47" s="25"/>
      <c r="B47" s="12"/>
      <c r="C47" s="12" t="s">
        <v>102</v>
      </c>
      <c r="D47" s="18">
        <v>0</v>
      </c>
      <c r="E47" s="12"/>
      <c r="F47" s="12"/>
      <c r="G47" s="12"/>
      <c r="H47" s="12"/>
      <c r="I47" s="12"/>
      <c r="J47" s="12"/>
      <c r="K47" s="12"/>
      <c r="L47" s="12"/>
      <c r="M47" s="21">
        <f>M46*D47</f>
        <v>0</v>
      </c>
      <c r="N47" s="25"/>
    </row>
    <row r="48" spans="1:14" s="46" customFormat="1" x14ac:dyDescent="0.3">
      <c r="A48" s="25"/>
      <c r="B48" s="12"/>
      <c r="C48" s="19" t="s">
        <v>16</v>
      </c>
      <c r="D48" s="20"/>
      <c r="E48" s="19"/>
      <c r="F48" s="19"/>
      <c r="G48" s="19"/>
      <c r="H48" s="19"/>
      <c r="I48" s="19"/>
      <c r="J48" s="19"/>
      <c r="K48" s="19"/>
      <c r="L48" s="19"/>
      <c r="M48" s="22">
        <f>M46+M47</f>
        <v>0</v>
      </c>
      <c r="N48" s="25"/>
    </row>
    <row r="49" spans="1:14" s="46" customFormat="1" x14ac:dyDescent="0.3">
      <c r="A49" s="25"/>
      <c r="B49" s="12"/>
      <c r="C49" s="12" t="s">
        <v>103</v>
      </c>
      <c r="D49" s="18">
        <v>0</v>
      </c>
      <c r="E49" s="12"/>
      <c r="F49" s="12"/>
      <c r="G49" s="12"/>
      <c r="H49" s="12"/>
      <c r="I49" s="12"/>
      <c r="J49" s="12"/>
      <c r="K49" s="12"/>
      <c r="L49" s="12"/>
      <c r="M49" s="21">
        <f>M48*D49</f>
        <v>0</v>
      </c>
      <c r="N49" s="25"/>
    </row>
    <row r="50" spans="1:14" s="46" customFormat="1" x14ac:dyDescent="0.3">
      <c r="A50" s="25"/>
      <c r="B50" s="35"/>
      <c r="C50" s="36" t="s">
        <v>16</v>
      </c>
      <c r="D50" s="35"/>
      <c r="E50" s="36"/>
      <c r="F50" s="35"/>
      <c r="G50" s="35"/>
      <c r="H50" s="37"/>
      <c r="I50" s="38"/>
      <c r="J50" s="38"/>
      <c r="K50" s="38"/>
      <c r="L50" s="38"/>
      <c r="M50" s="39">
        <f>M49+M48</f>
        <v>0</v>
      </c>
      <c r="N50" s="25"/>
    </row>
    <row r="52" spans="1:14" x14ac:dyDescent="0.3">
      <c r="C52" s="58"/>
    </row>
  </sheetData>
  <mergeCells count="9">
    <mergeCell ref="I2:J2"/>
    <mergeCell ref="K2:L2"/>
    <mergeCell ref="M2:M3"/>
    <mergeCell ref="B2:B3"/>
    <mergeCell ref="C2:C3"/>
    <mergeCell ref="D2:D3"/>
    <mergeCell ref="E2:E3"/>
    <mergeCell ref="F2:F3"/>
    <mergeCell ref="G2:H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9A574-A5C1-442E-8C4A-63F175F413B6}">
  <dimension ref="A2:Q156"/>
  <sheetViews>
    <sheetView showGridLines="0" zoomScaleNormal="100" workbookViewId="0">
      <selection activeCell="C8" sqref="C8"/>
    </sheetView>
  </sheetViews>
  <sheetFormatPr defaultColWidth="8.77734375" defaultRowHeight="14.4" x14ac:dyDescent="0.3"/>
  <cols>
    <col min="1" max="1" width="3.77734375" style="25" customWidth="1"/>
    <col min="2" max="2" width="6.21875" style="25" bestFit="1" customWidth="1"/>
    <col min="3" max="3" width="88.77734375" style="25" customWidth="1"/>
    <col min="4" max="6" width="8.77734375" style="25"/>
    <col min="7" max="7" width="11.21875" style="25" bestFit="1" customWidth="1"/>
    <col min="8" max="8" width="11" style="25" bestFit="1" customWidth="1"/>
    <col min="9" max="9" width="11.21875" style="25" bestFit="1" customWidth="1"/>
    <col min="10" max="11" width="10" style="25" bestFit="1" customWidth="1"/>
    <col min="12" max="12" width="11.44140625" style="25" bestFit="1" customWidth="1"/>
    <col min="13" max="13" width="16" style="25" bestFit="1" customWidth="1"/>
    <col min="14" max="14" width="9" style="25" bestFit="1" customWidth="1"/>
    <col min="15" max="16384" width="8.77734375" style="25"/>
  </cols>
  <sheetData>
    <row r="2" spans="2:16" s="1" customFormat="1" ht="43.2" x14ac:dyDescent="0.3">
      <c r="B2" s="129" t="s">
        <v>6</v>
      </c>
      <c r="C2" s="131" t="s">
        <v>7</v>
      </c>
      <c r="D2" s="131" t="s">
        <v>8</v>
      </c>
      <c r="E2" s="41" t="s">
        <v>10</v>
      </c>
      <c r="F2" s="40" t="s">
        <v>11</v>
      </c>
      <c r="G2" s="40"/>
      <c r="H2" s="40" t="s">
        <v>12</v>
      </c>
      <c r="I2" s="40"/>
      <c r="J2" s="40" t="s">
        <v>13</v>
      </c>
      <c r="K2" s="40"/>
      <c r="L2" s="127" t="s">
        <v>14</v>
      </c>
    </row>
    <row r="3" spans="2:16" s="1" customFormat="1" ht="28.8" x14ac:dyDescent="0.3">
      <c r="B3" s="130"/>
      <c r="C3" s="132"/>
      <c r="D3" s="132"/>
      <c r="E3" s="42"/>
      <c r="F3" s="2" t="s">
        <v>15</v>
      </c>
      <c r="G3" s="2" t="s">
        <v>16</v>
      </c>
      <c r="H3" s="2" t="s">
        <v>15</v>
      </c>
      <c r="I3" s="2" t="s">
        <v>16</v>
      </c>
      <c r="J3" s="2" t="s">
        <v>15</v>
      </c>
      <c r="K3" s="2" t="s">
        <v>16</v>
      </c>
      <c r="L3" s="128"/>
    </row>
    <row r="4" spans="2:16" s="3" customFormat="1" x14ac:dyDescent="0.3">
      <c r="B4" s="4">
        <v>1</v>
      </c>
      <c r="C4" s="4">
        <v>2</v>
      </c>
      <c r="D4" s="4">
        <v>3</v>
      </c>
      <c r="E4" s="4">
        <v>5</v>
      </c>
      <c r="F4" s="4">
        <v>6</v>
      </c>
      <c r="G4" s="4">
        <v>7</v>
      </c>
      <c r="H4" s="4">
        <v>8</v>
      </c>
      <c r="I4" s="4">
        <v>9</v>
      </c>
      <c r="J4" s="4">
        <v>10</v>
      </c>
      <c r="K4" s="4">
        <v>11</v>
      </c>
      <c r="L4" s="4">
        <v>12</v>
      </c>
    </row>
    <row r="5" spans="2:16" s="3" customFormat="1" ht="31.95" customHeight="1" x14ac:dyDescent="0.3">
      <c r="B5" s="5">
        <v>1</v>
      </c>
      <c r="C5" s="67" t="s">
        <v>156</v>
      </c>
      <c r="D5" s="6" t="s">
        <v>18</v>
      </c>
      <c r="E5" s="7">
        <v>650</v>
      </c>
      <c r="F5" s="8"/>
      <c r="G5" s="8"/>
      <c r="H5" s="9"/>
      <c r="I5" s="10"/>
      <c r="J5" s="10"/>
      <c r="K5" s="9"/>
      <c r="L5" s="11"/>
      <c r="N5" s="97"/>
    </row>
    <row r="6" spans="2:16" s="3" customFormat="1" ht="13.8" x14ac:dyDescent="0.3">
      <c r="B6" s="12"/>
      <c r="C6" s="13" t="s">
        <v>19</v>
      </c>
      <c r="D6" s="14" t="s">
        <v>18</v>
      </c>
      <c r="E6" s="12">
        <f>E5*1</f>
        <v>650</v>
      </c>
      <c r="F6" s="15"/>
      <c r="G6" s="16"/>
      <c r="H6" s="16"/>
      <c r="I6" s="16"/>
      <c r="J6" s="16"/>
      <c r="K6" s="16">
        <f>E6*J6</f>
        <v>0</v>
      </c>
      <c r="L6" s="16">
        <f>K6</f>
        <v>0</v>
      </c>
      <c r="N6" s="114"/>
    </row>
    <row r="7" spans="2:16" s="3" customFormat="1" ht="27.45" customHeight="1" x14ac:dyDescent="0.3">
      <c r="B7" s="5">
        <v>1</v>
      </c>
      <c r="C7" s="23" t="s">
        <v>155</v>
      </c>
      <c r="D7" s="6" t="s">
        <v>18</v>
      </c>
      <c r="E7" s="7">
        <f>E5*0.35</f>
        <v>227.49999999999997</v>
      </c>
      <c r="F7" s="8"/>
      <c r="G7" s="8"/>
      <c r="H7" s="9"/>
      <c r="I7" s="10"/>
      <c r="J7" s="10"/>
      <c r="K7" s="9"/>
      <c r="L7" s="11"/>
      <c r="N7" s="97"/>
      <c r="O7" s="115"/>
    </row>
    <row r="8" spans="2:16" s="3" customFormat="1" ht="13.8" x14ac:dyDescent="0.3">
      <c r="B8" s="12"/>
      <c r="C8" s="13" t="s">
        <v>19</v>
      </c>
      <c r="D8" s="14" t="s">
        <v>18</v>
      </c>
      <c r="E8" s="112">
        <f>E7</f>
        <v>227.49999999999997</v>
      </c>
      <c r="F8" s="15"/>
      <c r="G8" s="16"/>
      <c r="H8" s="16"/>
      <c r="I8" s="16"/>
      <c r="J8" s="16"/>
      <c r="K8" s="16">
        <f>F8*J8</f>
        <v>0</v>
      </c>
      <c r="L8" s="16">
        <f>K8</f>
        <v>0</v>
      </c>
      <c r="N8" s="62"/>
    </row>
    <row r="9" spans="2:16" s="91" customFormat="1" x14ac:dyDescent="0.3">
      <c r="B9" s="5">
        <f>MAX($B$5:B6)+1</f>
        <v>2</v>
      </c>
      <c r="C9" s="23" t="s">
        <v>157</v>
      </c>
      <c r="D9" s="6" t="s">
        <v>18</v>
      </c>
      <c r="E9" s="7">
        <f>4.4+2.44+3.04+6.24+5.1+4.25+2.52+5.82+5.04+1.47+1.47</f>
        <v>41.79</v>
      </c>
      <c r="F9" s="23"/>
      <c r="G9" s="23"/>
      <c r="H9" s="23"/>
      <c r="I9" s="23"/>
      <c r="J9" s="23"/>
      <c r="K9" s="23"/>
      <c r="L9" s="23"/>
      <c r="M9" s="90"/>
      <c r="N9" s="90"/>
      <c r="O9" s="90"/>
    </row>
    <row r="10" spans="2:16" s="82" customFormat="1" x14ac:dyDescent="0.3">
      <c r="B10" s="83"/>
      <c r="C10" s="84" t="s">
        <v>24</v>
      </c>
      <c r="D10" s="85" t="s">
        <v>18</v>
      </c>
      <c r="E10" s="86">
        <f>E9</f>
        <v>41.79</v>
      </c>
      <c r="F10" s="87"/>
      <c r="G10" s="87"/>
      <c r="H10" s="87"/>
      <c r="I10" s="87">
        <f>H10*E10</f>
        <v>0</v>
      </c>
      <c r="J10" s="16"/>
      <c r="K10" s="87"/>
      <c r="L10" s="87">
        <f>G10+I10+K10</f>
        <v>0</v>
      </c>
      <c r="M10" s="81"/>
      <c r="N10" s="81"/>
      <c r="O10" s="81"/>
    </row>
    <row r="11" spans="2:16" s="82" customFormat="1" x14ac:dyDescent="0.3">
      <c r="B11" s="83"/>
      <c r="C11" s="84" t="s">
        <v>127</v>
      </c>
      <c r="D11" s="85" t="s">
        <v>18</v>
      </c>
      <c r="E11" s="86">
        <f>E9</f>
        <v>41.79</v>
      </c>
      <c r="F11" s="87"/>
      <c r="G11" s="87"/>
      <c r="H11" s="87"/>
      <c r="I11" s="87"/>
      <c r="J11" s="16"/>
      <c r="K11" s="87">
        <f>E11*J11</f>
        <v>0</v>
      </c>
      <c r="L11" s="87">
        <f>G11+I11+K11</f>
        <v>0</v>
      </c>
      <c r="M11" s="81"/>
      <c r="N11" s="81"/>
      <c r="O11" s="81"/>
    </row>
    <row r="12" spans="2:16" s="82" customFormat="1" x14ac:dyDescent="0.3">
      <c r="B12" s="83"/>
      <c r="C12" s="84" t="s">
        <v>153</v>
      </c>
      <c r="D12" s="85" t="s">
        <v>18</v>
      </c>
      <c r="E12" s="86">
        <f>E9*1.15</f>
        <v>48.058499999999995</v>
      </c>
      <c r="F12" s="95"/>
      <c r="G12" s="87">
        <f>E12*F12</f>
        <v>0</v>
      </c>
      <c r="H12" s="87"/>
      <c r="I12" s="87"/>
      <c r="J12" s="87"/>
      <c r="K12" s="87"/>
      <c r="L12" s="87">
        <f>G12+I12+K12</f>
        <v>0</v>
      </c>
      <c r="M12" s="81"/>
      <c r="N12" s="81"/>
      <c r="O12" s="81"/>
    </row>
    <row r="13" spans="2:16" s="91" customFormat="1" x14ac:dyDescent="0.3">
      <c r="B13" s="5">
        <f>MAX($B$5:B12)+1</f>
        <v>3</v>
      </c>
      <c r="C13" s="23" t="s">
        <v>128</v>
      </c>
      <c r="D13" s="6" t="s">
        <v>18</v>
      </c>
      <c r="E13" s="7">
        <f>2.01+1.12+1.39+2.86+2.39+1.95+1.14+2.74+2.34+0.56+0.56</f>
        <v>19.059999999999995</v>
      </c>
      <c r="F13" s="23"/>
      <c r="G13" s="23"/>
      <c r="H13" s="23"/>
      <c r="I13" s="23"/>
      <c r="J13" s="23"/>
      <c r="K13" s="23"/>
      <c r="L13" s="23"/>
      <c r="M13" s="90"/>
      <c r="N13" s="90"/>
      <c r="O13" s="90"/>
    </row>
    <row r="14" spans="2:16" s="88" customFormat="1" x14ac:dyDescent="0.3">
      <c r="B14" s="83"/>
      <c r="C14" s="84" t="s">
        <v>24</v>
      </c>
      <c r="D14" s="85" t="s">
        <v>18</v>
      </c>
      <c r="E14" s="86">
        <f>E13</f>
        <v>19.059999999999995</v>
      </c>
      <c r="F14" s="87"/>
      <c r="G14" s="87"/>
      <c r="H14" s="87"/>
      <c r="I14" s="87">
        <f>E14*H14</f>
        <v>0</v>
      </c>
      <c r="J14" s="87"/>
      <c r="K14" s="87"/>
      <c r="L14" s="87">
        <f>G14+I14+K14</f>
        <v>0</v>
      </c>
      <c r="M14" s="81"/>
      <c r="N14" s="81"/>
      <c r="O14" s="81"/>
      <c r="P14" s="82"/>
    </row>
    <row r="15" spans="2:16" s="88" customFormat="1" x14ac:dyDescent="0.3">
      <c r="B15" s="83"/>
      <c r="C15" s="84" t="s">
        <v>152</v>
      </c>
      <c r="D15" s="85" t="s">
        <v>18</v>
      </c>
      <c r="E15" s="86">
        <f>E13*1.02</f>
        <v>19.441199999999995</v>
      </c>
      <c r="F15" s="87"/>
      <c r="G15" s="87"/>
      <c r="H15" s="87"/>
      <c r="I15" s="87"/>
      <c r="J15" s="87"/>
      <c r="K15" s="87">
        <f>E15*J15</f>
        <v>0</v>
      </c>
      <c r="L15" s="87">
        <f>G15+I15+K15</f>
        <v>0</v>
      </c>
      <c r="M15" s="81"/>
      <c r="N15" s="81"/>
      <c r="O15" s="81"/>
      <c r="P15" s="82"/>
    </row>
    <row r="16" spans="2:16" s="88" customFormat="1" x14ac:dyDescent="0.3">
      <c r="B16" s="83"/>
      <c r="C16" s="84" t="s">
        <v>129</v>
      </c>
      <c r="D16" s="85" t="s">
        <v>18</v>
      </c>
      <c r="E16" s="86">
        <f>E13*1.02</f>
        <v>19.441199999999995</v>
      </c>
      <c r="F16" s="95"/>
      <c r="G16" s="87">
        <f>E16*F16</f>
        <v>0</v>
      </c>
      <c r="H16" s="87"/>
      <c r="I16" s="87"/>
      <c r="J16" s="87"/>
      <c r="K16" s="87"/>
      <c r="L16" s="87">
        <f>G16+I16+K16</f>
        <v>0</v>
      </c>
      <c r="M16" s="81"/>
      <c r="N16" s="81"/>
      <c r="O16" s="81"/>
      <c r="P16" s="82"/>
    </row>
    <row r="17" spans="2:17" s="3" customFormat="1" x14ac:dyDescent="0.3">
      <c r="B17" s="5">
        <f>MAX($B$5:B16)+1</f>
        <v>4</v>
      </c>
      <c r="C17" s="67" t="s">
        <v>151</v>
      </c>
      <c r="D17" s="98" t="s">
        <v>55</v>
      </c>
      <c r="E17" s="100">
        <v>180</v>
      </c>
      <c r="F17" s="99"/>
      <c r="G17" s="100"/>
      <c r="H17" s="99"/>
      <c r="I17" s="100"/>
      <c r="J17" s="99"/>
      <c r="K17" s="100"/>
      <c r="L17" s="100"/>
      <c r="M17" s="101"/>
      <c r="N17" s="102"/>
    </row>
    <row r="18" spans="2:17" s="3" customFormat="1" ht="13.8" x14ac:dyDescent="0.3">
      <c r="B18" s="103">
        <v>2</v>
      </c>
      <c r="C18" s="104" t="s">
        <v>24</v>
      </c>
      <c r="D18" s="105" t="s">
        <v>33</v>
      </c>
      <c r="E18" s="107">
        <f>E17*1</f>
        <v>180</v>
      </c>
      <c r="F18" s="107"/>
      <c r="G18" s="107"/>
      <c r="H18" s="108"/>
      <c r="I18" s="107">
        <f>H18*E18</f>
        <v>0</v>
      </c>
      <c r="J18" s="109"/>
      <c r="K18" s="110"/>
      <c r="L18" s="106">
        <f t="shared" ref="L18:L23" si="0">K18+I18+G18</f>
        <v>0</v>
      </c>
      <c r="M18" s="101"/>
      <c r="N18" s="102"/>
    </row>
    <row r="19" spans="2:17" s="3" customFormat="1" ht="13.8" x14ac:dyDescent="0.3">
      <c r="B19" s="103">
        <v>2</v>
      </c>
      <c r="C19" s="104" t="s">
        <v>84</v>
      </c>
      <c r="D19" s="105" t="s">
        <v>43</v>
      </c>
      <c r="E19" s="107">
        <f>E17*0.02</f>
        <v>3.6</v>
      </c>
      <c r="F19" s="107"/>
      <c r="G19" s="107"/>
      <c r="H19" s="107"/>
      <c r="I19" s="107"/>
      <c r="J19" s="109"/>
      <c r="K19" s="110">
        <f>J19*E19</f>
        <v>0</v>
      </c>
      <c r="L19" s="106">
        <f t="shared" si="0"/>
        <v>0</v>
      </c>
      <c r="M19" s="101"/>
      <c r="N19" s="102"/>
    </row>
    <row r="20" spans="2:17" s="3" customFormat="1" ht="13.8" x14ac:dyDescent="0.3">
      <c r="B20" s="103">
        <v>2</v>
      </c>
      <c r="C20" s="104" t="s">
        <v>37</v>
      </c>
      <c r="D20" s="105"/>
      <c r="E20" s="107"/>
      <c r="F20" s="107"/>
      <c r="G20" s="107"/>
      <c r="H20" s="107"/>
      <c r="I20" s="107"/>
      <c r="J20" s="109"/>
      <c r="K20" s="110"/>
      <c r="L20" s="106">
        <f t="shared" si="0"/>
        <v>0</v>
      </c>
      <c r="M20" s="101"/>
      <c r="N20" s="102"/>
    </row>
    <row r="21" spans="2:17" s="3" customFormat="1" ht="13.8" x14ac:dyDescent="0.3">
      <c r="B21" s="103">
        <v>2</v>
      </c>
      <c r="C21" s="104" t="s">
        <v>146</v>
      </c>
      <c r="D21" s="105" t="s">
        <v>33</v>
      </c>
      <c r="E21" s="107">
        <f>E17*1.24</f>
        <v>223.2</v>
      </c>
      <c r="F21" s="107"/>
      <c r="G21" s="107">
        <f>F21*E21</f>
        <v>0</v>
      </c>
      <c r="H21" s="107"/>
      <c r="I21" s="107"/>
      <c r="J21" s="109"/>
      <c r="K21" s="110"/>
      <c r="L21" s="106">
        <f t="shared" si="0"/>
        <v>0</v>
      </c>
      <c r="M21" s="101"/>
      <c r="N21" s="102"/>
    </row>
    <row r="22" spans="2:17" s="3" customFormat="1" ht="13.8" x14ac:dyDescent="0.3">
      <c r="B22" s="103">
        <v>2</v>
      </c>
      <c r="C22" s="104" t="s">
        <v>150</v>
      </c>
      <c r="D22" s="105" t="s">
        <v>73</v>
      </c>
      <c r="E22" s="107">
        <f>E17*0.45</f>
        <v>81</v>
      </c>
      <c r="F22" s="107"/>
      <c r="G22" s="107">
        <f>F22*E22</f>
        <v>0</v>
      </c>
      <c r="H22" s="107"/>
      <c r="I22" s="107"/>
      <c r="J22" s="109"/>
      <c r="K22" s="110"/>
      <c r="L22" s="106">
        <f t="shared" si="0"/>
        <v>0</v>
      </c>
      <c r="M22" s="101"/>
      <c r="N22" s="102"/>
      <c r="P22" s="111"/>
      <c r="Q22" s="97"/>
    </row>
    <row r="23" spans="2:17" s="3" customFormat="1" ht="13.8" x14ac:dyDescent="0.3">
      <c r="B23" s="103">
        <v>2</v>
      </c>
      <c r="C23" s="104" t="s">
        <v>47</v>
      </c>
      <c r="D23" s="105" t="s">
        <v>43</v>
      </c>
      <c r="E23" s="107">
        <f>E17*0.11</f>
        <v>19.8</v>
      </c>
      <c r="F23" s="108"/>
      <c r="G23" s="107">
        <f>E23*F23</f>
        <v>0</v>
      </c>
      <c r="H23" s="107"/>
      <c r="I23" s="107"/>
      <c r="J23" s="109"/>
      <c r="K23" s="110"/>
      <c r="L23" s="106">
        <f t="shared" si="0"/>
        <v>0</v>
      </c>
      <c r="M23" s="101"/>
      <c r="N23" s="102"/>
      <c r="P23" s="111"/>
      <c r="Q23" s="97"/>
    </row>
    <row r="24" spans="2:17" s="91" customFormat="1" ht="27.6" x14ac:dyDescent="0.3">
      <c r="B24" s="5">
        <f>MAX($B$5:B23)+1</f>
        <v>5</v>
      </c>
      <c r="C24" s="67" t="s">
        <v>154</v>
      </c>
      <c r="D24" s="6" t="s">
        <v>75</v>
      </c>
      <c r="E24" s="7">
        <f>(66+36+46.7+93.2+93.5+63+35.8+104+75+17.5+17.89)*1.05</f>
        <v>681.01950000000011</v>
      </c>
      <c r="F24" s="23"/>
      <c r="G24" s="23"/>
      <c r="H24" s="23"/>
      <c r="I24" s="23"/>
      <c r="J24" s="23"/>
      <c r="K24" s="23"/>
      <c r="L24" s="23"/>
      <c r="M24" s="90"/>
      <c r="N24" s="90"/>
      <c r="O24" s="90"/>
    </row>
    <row r="25" spans="2:17" s="82" customFormat="1" x14ac:dyDescent="0.3">
      <c r="B25" s="83"/>
      <c r="C25" s="84" t="s">
        <v>24</v>
      </c>
      <c r="D25" s="85" t="s">
        <v>75</v>
      </c>
      <c r="E25" s="86">
        <f>E24</f>
        <v>681.01950000000011</v>
      </c>
      <c r="F25" s="87"/>
      <c r="G25" s="87"/>
      <c r="H25" s="87"/>
      <c r="I25" s="87">
        <f>E25*H25</f>
        <v>0</v>
      </c>
      <c r="J25" s="87"/>
      <c r="K25" s="87"/>
      <c r="L25" s="87">
        <f>G25+I25+K25</f>
        <v>0</v>
      </c>
      <c r="M25" s="81"/>
      <c r="N25" s="81"/>
      <c r="O25" s="81"/>
    </row>
    <row r="26" spans="2:17" s="82" customFormat="1" x14ac:dyDescent="0.3">
      <c r="B26" s="83"/>
      <c r="C26" s="84" t="s">
        <v>130</v>
      </c>
      <c r="D26" s="85" t="s">
        <v>73</v>
      </c>
      <c r="E26" s="86">
        <f>E24*0.8</f>
        <v>544.81560000000013</v>
      </c>
      <c r="F26" s="87"/>
      <c r="G26" s="87">
        <f>E26*F26</f>
        <v>0</v>
      </c>
      <c r="H26" s="87"/>
      <c r="I26" s="87"/>
      <c r="J26" s="87"/>
      <c r="K26" s="87"/>
      <c r="L26" s="87">
        <f>G26+I26+K26</f>
        <v>0</v>
      </c>
      <c r="M26" s="81"/>
      <c r="N26" s="81"/>
      <c r="O26" s="81"/>
    </row>
    <row r="27" spans="2:17" s="82" customFormat="1" x14ac:dyDescent="0.3">
      <c r="B27" s="83"/>
      <c r="C27" s="84" t="s">
        <v>131</v>
      </c>
      <c r="D27" s="85" t="s">
        <v>75</v>
      </c>
      <c r="E27" s="86">
        <f>E24*1.24</f>
        <v>844.46418000000017</v>
      </c>
      <c r="F27" s="87"/>
      <c r="G27" s="87">
        <f>E27*F27</f>
        <v>0</v>
      </c>
      <c r="H27" s="87"/>
      <c r="I27" s="87"/>
      <c r="J27" s="87"/>
      <c r="K27" s="87"/>
      <c r="L27" s="87">
        <f>G27+I27+K27</f>
        <v>0</v>
      </c>
      <c r="M27" s="81"/>
      <c r="N27" s="81"/>
      <c r="O27" s="81"/>
    </row>
    <row r="28" spans="2:17" s="82" customFormat="1" x14ac:dyDescent="0.3">
      <c r="B28" s="83"/>
      <c r="C28" s="84" t="s">
        <v>132</v>
      </c>
      <c r="D28" s="85" t="s">
        <v>73</v>
      </c>
      <c r="E28" s="86">
        <f>E24*0.15</f>
        <v>102.15292500000001</v>
      </c>
      <c r="F28" s="87"/>
      <c r="G28" s="87">
        <f>E28*F28</f>
        <v>0</v>
      </c>
      <c r="H28" s="87"/>
      <c r="I28" s="87"/>
      <c r="J28" s="87"/>
      <c r="K28" s="87"/>
      <c r="L28" s="87">
        <f>G28+I28+K28</f>
        <v>0</v>
      </c>
      <c r="M28" s="81"/>
      <c r="N28" s="81"/>
      <c r="O28" s="81"/>
    </row>
    <row r="29" spans="2:17" s="91" customFormat="1" x14ac:dyDescent="0.3">
      <c r="B29" s="5">
        <f>MAX($B$5:B17)+1</f>
        <v>5</v>
      </c>
      <c r="C29" s="23" t="s">
        <v>160</v>
      </c>
      <c r="D29" s="6" t="s">
        <v>18</v>
      </c>
      <c r="E29" s="113">
        <v>2.33</v>
      </c>
      <c r="F29" s="23"/>
      <c r="G29" s="23"/>
      <c r="H29" s="23"/>
      <c r="I29" s="23"/>
      <c r="J29" s="23"/>
      <c r="K29" s="23"/>
      <c r="L29" s="23"/>
      <c r="M29" s="90"/>
      <c r="N29" s="90"/>
      <c r="O29" s="90"/>
    </row>
    <row r="30" spans="2:17" s="82" customFormat="1" x14ac:dyDescent="0.3">
      <c r="B30" s="83"/>
      <c r="C30" s="84" t="s">
        <v>24</v>
      </c>
      <c r="D30" s="85" t="s">
        <v>18</v>
      </c>
      <c r="E30" s="86">
        <f>E29</f>
        <v>2.33</v>
      </c>
      <c r="F30" s="87"/>
      <c r="G30" s="87"/>
      <c r="H30" s="87"/>
      <c r="I30" s="87">
        <f>E30*H30</f>
        <v>0</v>
      </c>
      <c r="J30" s="87"/>
      <c r="K30" s="87"/>
      <c r="L30" s="87">
        <f>G30+I30+K30</f>
        <v>0</v>
      </c>
      <c r="M30" s="89"/>
      <c r="N30" s="89"/>
      <c r="O30" s="89"/>
    </row>
    <row r="31" spans="2:17" s="82" customFormat="1" x14ac:dyDescent="0.3">
      <c r="B31" s="83"/>
      <c r="C31" s="84" t="s">
        <v>35</v>
      </c>
      <c r="D31" s="85" t="s">
        <v>18</v>
      </c>
      <c r="E31" s="86">
        <f>E29*1.015</f>
        <v>2.3649499999999999</v>
      </c>
      <c r="F31" s="87"/>
      <c r="G31" s="87"/>
      <c r="H31" s="87"/>
      <c r="I31" s="87"/>
      <c r="J31" s="87"/>
      <c r="K31" s="87">
        <f>E31*J31</f>
        <v>0</v>
      </c>
      <c r="L31" s="87">
        <f t="shared" ref="L31:L37" si="1">G31+I31+K31</f>
        <v>0</v>
      </c>
      <c r="M31" s="89"/>
      <c r="N31" s="89"/>
      <c r="O31" s="89"/>
    </row>
    <row r="32" spans="2:17" s="88" customFormat="1" x14ac:dyDescent="0.3">
      <c r="B32" s="83"/>
      <c r="C32" s="84" t="s">
        <v>78</v>
      </c>
      <c r="D32" s="85" t="s">
        <v>43</v>
      </c>
      <c r="E32" s="86">
        <f>E29</f>
        <v>2.33</v>
      </c>
      <c r="F32" s="87"/>
      <c r="G32" s="87"/>
      <c r="H32" s="87"/>
      <c r="I32" s="87"/>
      <c r="J32" s="87"/>
      <c r="K32" s="87">
        <f>E32*J32</f>
        <v>0</v>
      </c>
      <c r="L32" s="87">
        <f t="shared" si="1"/>
        <v>0</v>
      </c>
      <c r="M32" s="89"/>
      <c r="N32" s="89"/>
      <c r="O32" s="89"/>
      <c r="P32" s="82"/>
    </row>
    <row r="33" spans="2:16" s="82" customFormat="1" x14ac:dyDescent="0.3">
      <c r="B33" s="83"/>
      <c r="C33" s="84" t="s">
        <v>134</v>
      </c>
      <c r="D33" s="85" t="s">
        <v>18</v>
      </c>
      <c r="E33" s="86">
        <f>E29*1.015</f>
        <v>2.3649499999999999</v>
      </c>
      <c r="F33" s="95"/>
      <c r="G33" s="87">
        <f t="shared" ref="G33:G37" si="2">E33*F33</f>
        <v>0</v>
      </c>
      <c r="H33" s="87"/>
      <c r="I33" s="87"/>
      <c r="J33" s="87"/>
      <c r="K33" s="87"/>
      <c r="L33" s="87">
        <f t="shared" si="1"/>
        <v>0</v>
      </c>
      <c r="M33" s="89"/>
      <c r="N33" s="89"/>
      <c r="O33" s="89"/>
    </row>
    <row r="34" spans="2:16" s="82" customFormat="1" x14ac:dyDescent="0.3">
      <c r="B34" s="83"/>
      <c r="C34" s="84" t="s">
        <v>135</v>
      </c>
      <c r="D34" s="85" t="s">
        <v>18</v>
      </c>
      <c r="E34" s="86">
        <f>E29</f>
        <v>2.33</v>
      </c>
      <c r="F34" s="87"/>
      <c r="G34" s="87">
        <f t="shared" si="2"/>
        <v>0</v>
      </c>
      <c r="H34" s="87"/>
      <c r="I34" s="87"/>
      <c r="J34" s="87"/>
      <c r="K34" s="87"/>
      <c r="L34" s="87">
        <f t="shared" si="1"/>
        <v>0</v>
      </c>
      <c r="M34" s="89"/>
      <c r="N34" s="89"/>
      <c r="O34" s="89"/>
    </row>
    <row r="35" spans="2:16" s="82" customFormat="1" x14ac:dyDescent="0.3">
      <c r="B35" s="83"/>
      <c r="C35" s="84" t="s">
        <v>136</v>
      </c>
      <c r="D35" s="85" t="s">
        <v>89</v>
      </c>
      <c r="E35" s="86">
        <f>SUM(E36:E36)</f>
        <v>0.10589999999999999</v>
      </c>
      <c r="F35" s="87"/>
      <c r="G35" s="87">
        <f t="shared" si="2"/>
        <v>0</v>
      </c>
      <c r="H35" s="87"/>
      <c r="I35" s="87"/>
      <c r="J35" s="87"/>
      <c r="K35" s="87"/>
      <c r="L35" s="87">
        <f t="shared" si="1"/>
        <v>0</v>
      </c>
      <c r="M35" s="89"/>
      <c r="N35" s="89"/>
      <c r="O35" s="89"/>
    </row>
    <row r="36" spans="2:16" s="88" customFormat="1" x14ac:dyDescent="0.3">
      <c r="B36" s="83"/>
      <c r="C36" s="84" t="s">
        <v>137</v>
      </c>
      <c r="D36" s="85" t="s">
        <v>89</v>
      </c>
      <c r="E36" s="86">
        <f>42.7/1000+56.9/1000+6.3/1000</f>
        <v>0.10589999999999999</v>
      </c>
      <c r="F36" s="95"/>
      <c r="G36" s="87">
        <f t="shared" si="2"/>
        <v>0</v>
      </c>
      <c r="H36" s="87"/>
      <c r="I36" s="87"/>
      <c r="J36" s="87"/>
      <c r="K36" s="87"/>
      <c r="L36" s="87">
        <f t="shared" si="1"/>
        <v>0</v>
      </c>
      <c r="M36" s="89"/>
      <c r="N36" s="89"/>
      <c r="O36" s="89"/>
      <c r="P36" s="120"/>
    </row>
    <row r="37" spans="2:16" s="82" customFormat="1" x14ac:dyDescent="0.3">
      <c r="B37" s="83"/>
      <c r="C37" s="84" t="s">
        <v>81</v>
      </c>
      <c r="D37" s="85" t="s">
        <v>43</v>
      </c>
      <c r="E37" s="86">
        <f>E29</f>
        <v>2.33</v>
      </c>
      <c r="F37" s="87"/>
      <c r="G37" s="87">
        <f t="shared" si="2"/>
        <v>0</v>
      </c>
      <c r="H37" s="87"/>
      <c r="I37" s="87"/>
      <c r="J37" s="87"/>
      <c r="K37" s="87"/>
      <c r="L37" s="87">
        <f t="shared" si="1"/>
        <v>0</v>
      </c>
      <c r="M37" s="89"/>
      <c r="N37" s="89"/>
      <c r="O37" s="89"/>
    </row>
    <row r="38" spans="2:16" s="91" customFormat="1" x14ac:dyDescent="0.3">
      <c r="B38" s="5">
        <f>MAX($B$5:B28)+1</f>
        <v>6</v>
      </c>
      <c r="C38" s="23" t="s">
        <v>161</v>
      </c>
      <c r="D38" s="6" t="s">
        <v>18</v>
      </c>
      <c r="E38" s="113">
        <v>2.42</v>
      </c>
      <c r="F38" s="23"/>
      <c r="G38" s="23"/>
      <c r="H38" s="23"/>
      <c r="I38" s="23"/>
      <c r="J38" s="23"/>
      <c r="K38" s="23"/>
      <c r="L38" s="23"/>
      <c r="M38" s="90"/>
      <c r="N38" s="90"/>
      <c r="O38" s="90"/>
    </row>
    <row r="39" spans="2:16" s="82" customFormat="1" x14ac:dyDescent="0.3">
      <c r="B39" s="83"/>
      <c r="C39" s="84" t="s">
        <v>24</v>
      </c>
      <c r="D39" s="85" t="s">
        <v>18</v>
      </c>
      <c r="E39" s="86">
        <f>E38</f>
        <v>2.42</v>
      </c>
      <c r="F39" s="87"/>
      <c r="G39" s="87"/>
      <c r="H39" s="87"/>
      <c r="I39" s="87">
        <f>E39*H39</f>
        <v>0</v>
      </c>
      <c r="J39" s="87"/>
      <c r="K39" s="87"/>
      <c r="L39" s="87">
        <f>G39+I39+K39</f>
        <v>0</v>
      </c>
      <c r="M39" s="89"/>
      <c r="N39" s="89"/>
      <c r="O39" s="89"/>
    </row>
    <row r="40" spans="2:16" s="82" customFormat="1" x14ac:dyDescent="0.3">
      <c r="B40" s="83"/>
      <c r="C40" s="84" t="s">
        <v>35</v>
      </c>
      <c r="D40" s="85" t="s">
        <v>18</v>
      </c>
      <c r="E40" s="86">
        <f>E38*1.015</f>
        <v>2.4562999999999997</v>
      </c>
      <c r="F40" s="87"/>
      <c r="G40" s="87"/>
      <c r="H40" s="87"/>
      <c r="I40" s="87"/>
      <c r="J40" s="87"/>
      <c r="K40" s="87">
        <f>E40*J40</f>
        <v>0</v>
      </c>
      <c r="L40" s="87">
        <f t="shared" ref="L40:L46" si="3">G40+I40+K40</f>
        <v>0</v>
      </c>
      <c r="M40" s="89"/>
      <c r="N40" s="89"/>
      <c r="O40" s="89"/>
    </row>
    <row r="41" spans="2:16" s="88" customFormat="1" x14ac:dyDescent="0.3">
      <c r="B41" s="83"/>
      <c r="C41" s="84" t="s">
        <v>78</v>
      </c>
      <c r="D41" s="85" t="s">
        <v>43</v>
      </c>
      <c r="E41" s="86">
        <f>E38</f>
        <v>2.42</v>
      </c>
      <c r="F41" s="87"/>
      <c r="G41" s="87"/>
      <c r="H41" s="87"/>
      <c r="I41" s="87"/>
      <c r="J41" s="87"/>
      <c r="K41" s="87">
        <f>E41*J41</f>
        <v>0</v>
      </c>
      <c r="L41" s="87">
        <f t="shared" si="3"/>
        <v>0</v>
      </c>
      <c r="M41" s="89"/>
      <c r="N41" s="89"/>
      <c r="O41" s="89"/>
      <c r="P41" s="82"/>
    </row>
    <row r="42" spans="2:16" s="82" customFormat="1" x14ac:dyDescent="0.3">
      <c r="B42" s="83"/>
      <c r="C42" s="84" t="s">
        <v>134</v>
      </c>
      <c r="D42" s="85" t="s">
        <v>18</v>
      </c>
      <c r="E42" s="86">
        <f>E38*1.015</f>
        <v>2.4562999999999997</v>
      </c>
      <c r="F42" s="95"/>
      <c r="G42" s="87">
        <f t="shared" ref="G42:G46" si="4">E42*F42</f>
        <v>0</v>
      </c>
      <c r="H42" s="87"/>
      <c r="I42" s="87"/>
      <c r="J42" s="87"/>
      <c r="K42" s="87"/>
      <c r="L42" s="87">
        <f t="shared" si="3"/>
        <v>0</v>
      </c>
      <c r="M42" s="89"/>
      <c r="N42" s="89"/>
      <c r="O42" s="89"/>
    </row>
    <row r="43" spans="2:16" s="82" customFormat="1" x14ac:dyDescent="0.3">
      <c r="B43" s="83"/>
      <c r="C43" s="84" t="s">
        <v>135</v>
      </c>
      <c r="D43" s="85" t="s">
        <v>18</v>
      </c>
      <c r="E43" s="86">
        <f>E38</f>
        <v>2.42</v>
      </c>
      <c r="F43" s="87"/>
      <c r="G43" s="87">
        <f t="shared" si="4"/>
        <v>0</v>
      </c>
      <c r="H43" s="87"/>
      <c r="I43" s="87"/>
      <c r="J43" s="87"/>
      <c r="K43" s="87"/>
      <c r="L43" s="87">
        <f t="shared" si="3"/>
        <v>0</v>
      </c>
      <c r="M43" s="89"/>
      <c r="N43" s="89"/>
      <c r="O43" s="89"/>
    </row>
    <row r="44" spans="2:16" s="82" customFormat="1" x14ac:dyDescent="0.3">
      <c r="B44" s="83"/>
      <c r="C44" s="84" t="s">
        <v>136</v>
      </c>
      <c r="D44" s="85" t="s">
        <v>89</v>
      </c>
      <c r="E44" s="86">
        <f>SUM(E45:E45)</f>
        <v>0.10589999999999999</v>
      </c>
      <c r="F44" s="87"/>
      <c r="G44" s="87">
        <f t="shared" si="4"/>
        <v>0</v>
      </c>
      <c r="H44" s="87"/>
      <c r="I44" s="87"/>
      <c r="J44" s="87"/>
      <c r="K44" s="87"/>
      <c r="L44" s="87">
        <f t="shared" si="3"/>
        <v>0</v>
      </c>
      <c r="M44" s="89"/>
      <c r="N44" s="89"/>
      <c r="O44" s="89"/>
    </row>
    <row r="45" spans="2:16" s="88" customFormat="1" x14ac:dyDescent="0.3">
      <c r="B45" s="83"/>
      <c r="C45" s="84" t="s">
        <v>137</v>
      </c>
      <c r="D45" s="85" t="s">
        <v>89</v>
      </c>
      <c r="E45" s="86">
        <f>42.7/1000+56.9/1000+6.3/1000</f>
        <v>0.10589999999999999</v>
      </c>
      <c r="F45" s="95"/>
      <c r="G45" s="87">
        <f t="shared" si="4"/>
        <v>0</v>
      </c>
      <c r="H45" s="87"/>
      <c r="I45" s="87"/>
      <c r="J45" s="87"/>
      <c r="K45" s="87"/>
      <c r="L45" s="87">
        <f t="shared" si="3"/>
        <v>0</v>
      </c>
      <c r="M45" s="89"/>
      <c r="N45" s="89"/>
      <c r="O45" s="89"/>
      <c r="P45" s="82"/>
    </row>
    <row r="46" spans="2:16" s="82" customFormat="1" x14ac:dyDescent="0.3">
      <c r="B46" s="83"/>
      <c r="C46" s="84" t="s">
        <v>81</v>
      </c>
      <c r="D46" s="85" t="s">
        <v>43</v>
      </c>
      <c r="E46" s="86">
        <f>E38</f>
        <v>2.42</v>
      </c>
      <c r="F46" s="87"/>
      <c r="G46" s="87">
        <f t="shared" si="4"/>
        <v>0</v>
      </c>
      <c r="H46" s="87"/>
      <c r="I46" s="87"/>
      <c r="J46" s="87"/>
      <c r="K46" s="87"/>
      <c r="L46" s="87">
        <f t="shared" si="3"/>
        <v>0</v>
      </c>
      <c r="M46" s="89"/>
      <c r="N46" s="89"/>
      <c r="O46" s="89"/>
    </row>
    <row r="47" spans="2:16" s="91" customFormat="1" x14ac:dyDescent="0.3">
      <c r="B47" s="5">
        <f>MAX($B$5:B28)+1</f>
        <v>6</v>
      </c>
      <c r="C47" s="23" t="s">
        <v>147</v>
      </c>
      <c r="D47" s="6" t="s">
        <v>18</v>
      </c>
      <c r="E47" s="113">
        <v>5.43</v>
      </c>
      <c r="F47" s="23"/>
      <c r="G47" s="23"/>
      <c r="H47" s="23"/>
      <c r="I47" s="23"/>
      <c r="J47" s="23"/>
      <c r="K47" s="23"/>
      <c r="L47" s="23"/>
      <c r="M47" s="90"/>
      <c r="N47" s="90"/>
      <c r="O47" s="90"/>
    </row>
    <row r="48" spans="2:16" s="82" customFormat="1" x14ac:dyDescent="0.3">
      <c r="B48" s="83"/>
      <c r="C48" s="84" t="s">
        <v>24</v>
      </c>
      <c r="D48" s="85" t="s">
        <v>18</v>
      </c>
      <c r="E48" s="86">
        <f>E47</f>
        <v>5.43</v>
      </c>
      <c r="F48" s="87"/>
      <c r="G48" s="87"/>
      <c r="H48" s="87"/>
      <c r="I48" s="87">
        <f>E48*H48</f>
        <v>0</v>
      </c>
      <c r="J48" s="87"/>
      <c r="K48" s="87"/>
      <c r="L48" s="87">
        <f>G48+I48+K48</f>
        <v>0</v>
      </c>
      <c r="M48" s="89"/>
      <c r="N48" s="89"/>
      <c r="O48" s="89"/>
    </row>
    <row r="49" spans="2:16" s="82" customFormat="1" x14ac:dyDescent="0.3">
      <c r="B49" s="83"/>
      <c r="C49" s="84" t="s">
        <v>35</v>
      </c>
      <c r="D49" s="85" t="s">
        <v>18</v>
      </c>
      <c r="E49" s="86">
        <f>E47*1.015</f>
        <v>5.5114499999999991</v>
      </c>
      <c r="F49" s="87"/>
      <c r="G49" s="87"/>
      <c r="H49" s="87"/>
      <c r="I49" s="87"/>
      <c r="J49" s="87"/>
      <c r="K49" s="87">
        <f>E49*J49</f>
        <v>0</v>
      </c>
      <c r="L49" s="87">
        <f t="shared" ref="L49:L57" si="5">G49+I49+K49</f>
        <v>0</v>
      </c>
      <c r="M49" s="89"/>
      <c r="N49" s="89"/>
      <c r="O49" s="89"/>
    </row>
    <row r="50" spans="2:16" s="88" customFormat="1" x14ac:dyDescent="0.3">
      <c r="B50" s="83"/>
      <c r="C50" s="84" t="s">
        <v>78</v>
      </c>
      <c r="D50" s="85" t="s">
        <v>43</v>
      </c>
      <c r="E50" s="86">
        <f>E47</f>
        <v>5.43</v>
      </c>
      <c r="F50" s="87"/>
      <c r="G50" s="87"/>
      <c r="H50" s="87"/>
      <c r="I50" s="87"/>
      <c r="J50" s="87"/>
      <c r="K50" s="87">
        <f>E50*J50</f>
        <v>0</v>
      </c>
      <c r="L50" s="87">
        <f t="shared" si="5"/>
        <v>0</v>
      </c>
      <c r="M50" s="89"/>
      <c r="N50" s="89"/>
      <c r="O50" s="89"/>
      <c r="P50" s="82"/>
    </row>
    <row r="51" spans="2:16" s="82" customFormat="1" x14ac:dyDescent="0.3">
      <c r="B51" s="83"/>
      <c r="C51" s="84" t="s">
        <v>134</v>
      </c>
      <c r="D51" s="85" t="s">
        <v>18</v>
      </c>
      <c r="E51" s="86">
        <f>E47*1.015</f>
        <v>5.5114499999999991</v>
      </c>
      <c r="F51" s="95"/>
      <c r="G51" s="87">
        <f t="shared" ref="G51:G57" si="6">E51*F51</f>
        <v>0</v>
      </c>
      <c r="H51" s="87"/>
      <c r="I51" s="87"/>
      <c r="J51" s="87"/>
      <c r="K51" s="87"/>
      <c r="L51" s="87">
        <f t="shared" si="5"/>
        <v>0</v>
      </c>
      <c r="M51" s="89"/>
      <c r="N51" s="89"/>
      <c r="O51" s="89"/>
    </row>
    <row r="52" spans="2:16" s="82" customFormat="1" x14ac:dyDescent="0.3">
      <c r="B52" s="83"/>
      <c r="C52" s="84" t="s">
        <v>135</v>
      </c>
      <c r="D52" s="85" t="s">
        <v>18</v>
      </c>
      <c r="E52" s="86">
        <f>E47</f>
        <v>5.43</v>
      </c>
      <c r="F52" s="87"/>
      <c r="G52" s="87">
        <f t="shared" si="6"/>
        <v>0</v>
      </c>
      <c r="H52" s="87"/>
      <c r="I52" s="87"/>
      <c r="J52" s="87"/>
      <c r="K52" s="87"/>
      <c r="L52" s="87">
        <f t="shared" si="5"/>
        <v>0</v>
      </c>
      <c r="M52" s="89"/>
      <c r="N52" s="89"/>
      <c r="O52" s="89"/>
    </row>
    <row r="53" spans="2:16" s="82" customFormat="1" x14ac:dyDescent="0.3">
      <c r="B53" s="83"/>
      <c r="C53" s="84" t="s">
        <v>136</v>
      </c>
      <c r="D53" s="85" t="s">
        <v>89</v>
      </c>
      <c r="E53" s="86">
        <f>SUM(E54:E56)</f>
        <v>0.41840000000000005</v>
      </c>
      <c r="F53" s="87"/>
      <c r="G53" s="87">
        <f t="shared" si="6"/>
        <v>0</v>
      </c>
      <c r="H53" s="87"/>
      <c r="I53" s="87"/>
      <c r="J53" s="87"/>
      <c r="K53" s="87"/>
      <c r="L53" s="87">
        <f t="shared" si="5"/>
        <v>0</v>
      </c>
      <c r="M53" s="89"/>
      <c r="N53" s="89"/>
      <c r="O53" s="89"/>
    </row>
    <row r="54" spans="2:16" s="88" customFormat="1" x14ac:dyDescent="0.3">
      <c r="B54" s="83"/>
      <c r="C54" s="84" t="s">
        <v>137</v>
      </c>
      <c r="D54" s="85" t="s">
        <v>89</v>
      </c>
      <c r="E54" s="86">
        <f>12.9/1000+4.2/1000</f>
        <v>1.7100000000000001E-2</v>
      </c>
      <c r="F54" s="95"/>
      <c r="G54" s="87">
        <f t="shared" si="6"/>
        <v>0</v>
      </c>
      <c r="H54" s="87"/>
      <c r="I54" s="87"/>
      <c r="J54" s="87"/>
      <c r="K54" s="87"/>
      <c r="L54" s="87">
        <f t="shared" si="5"/>
        <v>0</v>
      </c>
      <c r="M54" s="89"/>
      <c r="N54" s="89"/>
      <c r="O54" s="89"/>
      <c r="P54" s="82"/>
    </row>
    <row r="55" spans="2:16" s="82" customFormat="1" x14ac:dyDescent="0.3">
      <c r="B55" s="83"/>
      <c r="C55" s="84" t="s">
        <v>138</v>
      </c>
      <c r="D55" s="85" t="s">
        <v>89</v>
      </c>
      <c r="E55" s="86">
        <f>170/1000+59.1/1000+35.7/1000</f>
        <v>0.26480000000000004</v>
      </c>
      <c r="F55" s="95"/>
      <c r="G55" s="87">
        <f t="shared" si="6"/>
        <v>0</v>
      </c>
      <c r="H55" s="87"/>
      <c r="I55" s="87"/>
      <c r="J55" s="87"/>
      <c r="K55" s="87"/>
      <c r="L55" s="87">
        <f t="shared" si="5"/>
        <v>0</v>
      </c>
      <c r="M55" s="89"/>
      <c r="N55" s="89"/>
      <c r="O55" s="89"/>
    </row>
    <row r="56" spans="2:16" s="88" customFormat="1" x14ac:dyDescent="0.3">
      <c r="B56" s="83"/>
      <c r="C56" s="84" t="s">
        <v>139</v>
      </c>
      <c r="D56" s="85" t="s">
        <v>89</v>
      </c>
      <c r="E56" s="86">
        <f>85.3/1000+51.2/1000</f>
        <v>0.13650000000000001</v>
      </c>
      <c r="F56" s="95"/>
      <c r="G56" s="87">
        <f t="shared" si="6"/>
        <v>0</v>
      </c>
      <c r="H56" s="87"/>
      <c r="I56" s="87"/>
      <c r="J56" s="87"/>
      <c r="K56" s="87"/>
      <c r="L56" s="87">
        <f t="shared" si="5"/>
        <v>0</v>
      </c>
      <c r="M56" s="89"/>
      <c r="N56" s="89"/>
      <c r="O56" s="89"/>
      <c r="P56" s="82"/>
    </row>
    <row r="57" spans="2:16" s="82" customFormat="1" x14ac:dyDescent="0.3">
      <c r="B57" s="83"/>
      <c r="C57" s="84" t="s">
        <v>81</v>
      </c>
      <c r="D57" s="85" t="s">
        <v>43</v>
      </c>
      <c r="E57" s="86">
        <f>E47</f>
        <v>5.43</v>
      </c>
      <c r="F57" s="87"/>
      <c r="G57" s="87">
        <f t="shared" si="6"/>
        <v>0</v>
      </c>
      <c r="H57" s="87"/>
      <c r="I57" s="87"/>
      <c r="J57" s="87"/>
      <c r="K57" s="87"/>
      <c r="L57" s="87">
        <f t="shared" si="5"/>
        <v>0</v>
      </c>
      <c r="M57" s="89"/>
      <c r="N57" s="89"/>
      <c r="O57" s="89"/>
    </row>
    <row r="58" spans="2:16" s="91" customFormat="1" x14ac:dyDescent="0.3">
      <c r="B58" s="5">
        <f>MAX($B$5:B57)+1</f>
        <v>7</v>
      </c>
      <c r="C58" s="23" t="s">
        <v>133</v>
      </c>
      <c r="D58" s="6" t="s">
        <v>18</v>
      </c>
      <c r="E58" s="7">
        <v>10.199999999999999</v>
      </c>
      <c r="F58" s="23"/>
      <c r="G58" s="23"/>
      <c r="H58" s="23"/>
      <c r="I58" s="23"/>
      <c r="J58" s="23"/>
      <c r="K58" s="23"/>
      <c r="L58" s="23"/>
      <c r="M58" s="90"/>
      <c r="N58" s="90"/>
      <c r="O58" s="90"/>
    </row>
    <row r="59" spans="2:16" s="82" customFormat="1" x14ac:dyDescent="0.3">
      <c r="B59" s="83"/>
      <c r="C59" s="84" t="s">
        <v>24</v>
      </c>
      <c r="D59" s="85" t="s">
        <v>18</v>
      </c>
      <c r="E59" s="86">
        <f>E58</f>
        <v>10.199999999999999</v>
      </c>
      <c r="F59" s="87"/>
      <c r="G59" s="87"/>
      <c r="H59" s="87"/>
      <c r="I59" s="87">
        <f>E59*H59</f>
        <v>0</v>
      </c>
      <c r="J59" s="87"/>
      <c r="K59" s="87"/>
      <c r="L59" s="87">
        <f>G59+I59+K59</f>
        <v>0</v>
      </c>
      <c r="M59" s="89"/>
      <c r="N59" s="89"/>
      <c r="O59" s="89"/>
    </row>
    <row r="60" spans="2:16" s="82" customFormat="1" x14ac:dyDescent="0.3">
      <c r="B60" s="83"/>
      <c r="C60" s="84" t="s">
        <v>35</v>
      </c>
      <c r="D60" s="85" t="s">
        <v>18</v>
      </c>
      <c r="E60" s="86">
        <f>E58*1.015</f>
        <v>10.352999999999998</v>
      </c>
      <c r="F60" s="87"/>
      <c r="G60" s="87"/>
      <c r="H60" s="87"/>
      <c r="I60" s="87"/>
      <c r="J60" s="87"/>
      <c r="K60" s="87">
        <f>E60*J60</f>
        <v>0</v>
      </c>
      <c r="L60" s="87">
        <f t="shared" ref="L60:L68" si="7">G60+I60+K60</f>
        <v>0</v>
      </c>
      <c r="M60" s="89"/>
      <c r="N60" s="89"/>
      <c r="O60" s="89"/>
    </row>
    <row r="61" spans="2:16" s="88" customFormat="1" x14ac:dyDescent="0.3">
      <c r="B61" s="83"/>
      <c r="C61" s="84" t="s">
        <v>78</v>
      </c>
      <c r="D61" s="85" t="s">
        <v>43</v>
      </c>
      <c r="E61" s="86">
        <f>E58</f>
        <v>10.199999999999999</v>
      </c>
      <c r="F61" s="87"/>
      <c r="G61" s="87"/>
      <c r="H61" s="87"/>
      <c r="I61" s="87"/>
      <c r="J61" s="87"/>
      <c r="K61" s="87">
        <f>E61*J61</f>
        <v>0</v>
      </c>
      <c r="L61" s="87">
        <f t="shared" si="7"/>
        <v>0</v>
      </c>
      <c r="M61" s="89"/>
      <c r="N61" s="89"/>
      <c r="O61" s="89"/>
      <c r="P61" s="82"/>
    </row>
    <row r="62" spans="2:16" s="82" customFormat="1" x14ac:dyDescent="0.3">
      <c r="B62" s="83"/>
      <c r="C62" s="84" t="s">
        <v>134</v>
      </c>
      <c r="D62" s="85" t="s">
        <v>18</v>
      </c>
      <c r="E62" s="86">
        <f>E58*1.015</f>
        <v>10.352999999999998</v>
      </c>
      <c r="F62" s="95"/>
      <c r="G62" s="87">
        <f t="shared" ref="G62:G68" si="8">E62*F62</f>
        <v>0</v>
      </c>
      <c r="H62" s="87"/>
      <c r="I62" s="87"/>
      <c r="J62" s="87"/>
      <c r="K62" s="87"/>
      <c r="L62" s="87">
        <f t="shared" si="7"/>
        <v>0</v>
      </c>
      <c r="M62" s="89"/>
      <c r="N62" s="89"/>
      <c r="O62" s="89"/>
    </row>
    <row r="63" spans="2:16" s="82" customFormat="1" x14ac:dyDescent="0.3">
      <c r="B63" s="83"/>
      <c r="C63" s="84" t="s">
        <v>135</v>
      </c>
      <c r="D63" s="85" t="s">
        <v>18</v>
      </c>
      <c r="E63" s="86">
        <f>E58</f>
        <v>10.199999999999999</v>
      </c>
      <c r="F63" s="87"/>
      <c r="G63" s="87">
        <f t="shared" si="8"/>
        <v>0</v>
      </c>
      <c r="H63" s="87"/>
      <c r="I63" s="87"/>
      <c r="J63" s="87"/>
      <c r="K63" s="87"/>
      <c r="L63" s="87">
        <f t="shared" si="7"/>
        <v>0</v>
      </c>
      <c r="M63" s="89"/>
      <c r="N63" s="89"/>
      <c r="O63" s="89"/>
    </row>
    <row r="64" spans="2:16" s="82" customFormat="1" x14ac:dyDescent="0.3">
      <c r="B64" s="83"/>
      <c r="C64" s="84" t="s">
        <v>136</v>
      </c>
      <c r="D64" s="85" t="s">
        <v>89</v>
      </c>
      <c r="E64" s="86">
        <f>SUM(E65:E67)</f>
        <v>0.80859900000000007</v>
      </c>
      <c r="F64" s="87"/>
      <c r="G64" s="87">
        <f t="shared" si="8"/>
        <v>0</v>
      </c>
      <c r="H64" s="87"/>
      <c r="I64" s="87"/>
      <c r="J64" s="87"/>
      <c r="K64" s="87"/>
      <c r="L64" s="87">
        <f t="shared" si="7"/>
        <v>0</v>
      </c>
      <c r="M64" s="89"/>
      <c r="N64" s="89"/>
      <c r="O64" s="89"/>
    </row>
    <row r="65" spans="2:16" s="88" customFormat="1" x14ac:dyDescent="0.3">
      <c r="B65" s="83"/>
      <c r="C65" s="84" t="s">
        <v>137</v>
      </c>
      <c r="D65" s="85" t="s">
        <v>89</v>
      </c>
      <c r="E65" s="86">
        <f>28.5/1000*1.07</f>
        <v>3.0495000000000001E-2</v>
      </c>
      <c r="F65" s="95"/>
      <c r="G65" s="87">
        <f t="shared" si="8"/>
        <v>0</v>
      </c>
      <c r="H65" s="87"/>
      <c r="I65" s="87"/>
      <c r="J65" s="87"/>
      <c r="K65" s="87"/>
      <c r="L65" s="87">
        <f t="shared" si="7"/>
        <v>0</v>
      </c>
      <c r="M65" s="89"/>
      <c r="N65" s="89"/>
      <c r="O65" s="89"/>
      <c r="P65" s="82"/>
    </row>
    <row r="66" spans="2:16" s="82" customFormat="1" x14ac:dyDescent="0.3">
      <c r="B66" s="83"/>
      <c r="C66" s="84" t="s">
        <v>138</v>
      </c>
      <c r="D66" s="85" t="s">
        <v>89</v>
      </c>
      <c r="E66" s="86">
        <f>485.6/1000*1.07</f>
        <v>0.51959200000000005</v>
      </c>
      <c r="F66" s="95"/>
      <c r="G66" s="87">
        <f t="shared" si="8"/>
        <v>0</v>
      </c>
      <c r="H66" s="87"/>
      <c r="I66" s="87"/>
      <c r="J66" s="87"/>
      <c r="K66" s="87"/>
      <c r="L66" s="87">
        <f t="shared" si="7"/>
        <v>0</v>
      </c>
      <c r="M66" s="89"/>
      <c r="N66" s="89"/>
      <c r="O66" s="89"/>
    </row>
    <row r="67" spans="2:16" s="88" customFormat="1" x14ac:dyDescent="0.3">
      <c r="B67" s="83"/>
      <c r="C67" s="84" t="s">
        <v>139</v>
      </c>
      <c r="D67" s="85" t="s">
        <v>89</v>
      </c>
      <c r="E67" s="86">
        <f>241.6/1000*1.07</f>
        <v>0.25851200000000002</v>
      </c>
      <c r="F67" s="95"/>
      <c r="G67" s="87">
        <f t="shared" si="8"/>
        <v>0</v>
      </c>
      <c r="H67" s="87"/>
      <c r="I67" s="87"/>
      <c r="J67" s="87"/>
      <c r="K67" s="87"/>
      <c r="L67" s="87">
        <f t="shared" si="7"/>
        <v>0</v>
      </c>
      <c r="M67" s="89"/>
      <c r="N67" s="89"/>
      <c r="O67" s="89"/>
      <c r="P67" s="82"/>
    </row>
    <row r="68" spans="2:16" s="82" customFormat="1" x14ac:dyDescent="0.3">
      <c r="B68" s="83"/>
      <c r="C68" s="84" t="s">
        <v>81</v>
      </c>
      <c r="D68" s="85" t="s">
        <v>43</v>
      </c>
      <c r="E68" s="86">
        <f>E58</f>
        <v>10.199999999999999</v>
      </c>
      <c r="F68" s="87"/>
      <c r="G68" s="87">
        <f t="shared" si="8"/>
        <v>0</v>
      </c>
      <c r="H68" s="87"/>
      <c r="I68" s="87"/>
      <c r="J68" s="87"/>
      <c r="K68" s="87"/>
      <c r="L68" s="87">
        <f t="shared" si="7"/>
        <v>0</v>
      </c>
      <c r="M68" s="89"/>
      <c r="N68" s="89"/>
      <c r="O68" s="89"/>
    </row>
    <row r="69" spans="2:16" s="91" customFormat="1" x14ac:dyDescent="0.3">
      <c r="B69" s="5">
        <f>MAX($B$5:B68)+1</f>
        <v>8</v>
      </c>
      <c r="C69" s="23" t="s">
        <v>140</v>
      </c>
      <c r="D69" s="6" t="s">
        <v>18</v>
      </c>
      <c r="E69" s="7">
        <v>7.46</v>
      </c>
      <c r="F69" s="23"/>
      <c r="G69" s="23"/>
      <c r="H69" s="23"/>
      <c r="I69" s="23"/>
      <c r="J69" s="23"/>
      <c r="K69" s="23"/>
      <c r="L69" s="23"/>
      <c r="M69" s="90"/>
      <c r="N69" s="90"/>
      <c r="O69" s="90"/>
    </row>
    <row r="70" spans="2:16" s="82" customFormat="1" x14ac:dyDescent="0.3">
      <c r="B70" s="83"/>
      <c r="C70" s="84" t="s">
        <v>24</v>
      </c>
      <c r="D70" s="85" t="s">
        <v>18</v>
      </c>
      <c r="E70" s="86">
        <f>E69</f>
        <v>7.46</v>
      </c>
      <c r="F70" s="87"/>
      <c r="G70" s="87"/>
      <c r="H70" s="87"/>
      <c r="I70" s="87">
        <f>E70*H70</f>
        <v>0</v>
      </c>
      <c r="J70" s="87"/>
      <c r="K70" s="87"/>
      <c r="L70" s="87">
        <f>G70+I70+K70</f>
        <v>0</v>
      </c>
      <c r="M70" s="89"/>
      <c r="N70" s="89"/>
      <c r="O70" s="89"/>
    </row>
    <row r="71" spans="2:16" s="82" customFormat="1" x14ac:dyDescent="0.3">
      <c r="B71" s="83"/>
      <c r="C71" s="84" t="s">
        <v>35</v>
      </c>
      <c r="D71" s="85" t="s">
        <v>18</v>
      </c>
      <c r="E71" s="86">
        <f>E69*1.015</f>
        <v>7.5718999999999994</v>
      </c>
      <c r="F71" s="87"/>
      <c r="G71" s="87"/>
      <c r="H71" s="87"/>
      <c r="I71" s="87"/>
      <c r="J71" s="87"/>
      <c r="K71" s="87">
        <f>E71*J71</f>
        <v>0</v>
      </c>
      <c r="L71" s="87">
        <f t="shared" ref="L71:L79" si="9">G71+I71+K71</f>
        <v>0</v>
      </c>
      <c r="M71" s="89"/>
      <c r="N71" s="89"/>
      <c r="O71" s="89"/>
    </row>
    <row r="72" spans="2:16" s="88" customFormat="1" x14ac:dyDescent="0.3">
      <c r="B72" s="83"/>
      <c r="C72" s="84" t="s">
        <v>78</v>
      </c>
      <c r="D72" s="85" t="s">
        <v>43</v>
      </c>
      <c r="E72" s="86">
        <f>E69</f>
        <v>7.46</v>
      </c>
      <c r="F72" s="87"/>
      <c r="G72" s="87"/>
      <c r="H72" s="87"/>
      <c r="I72" s="87"/>
      <c r="J72" s="87"/>
      <c r="K72" s="87">
        <f>E72*J72</f>
        <v>0</v>
      </c>
      <c r="L72" s="87">
        <f t="shared" si="9"/>
        <v>0</v>
      </c>
      <c r="M72" s="89"/>
      <c r="N72" s="89"/>
      <c r="O72" s="89"/>
      <c r="P72" s="82"/>
    </row>
    <row r="73" spans="2:16" s="82" customFormat="1" x14ac:dyDescent="0.3">
      <c r="B73" s="83"/>
      <c r="C73" s="84" t="s">
        <v>134</v>
      </c>
      <c r="D73" s="85" t="s">
        <v>18</v>
      </c>
      <c r="E73" s="86">
        <f>E69*1.015</f>
        <v>7.5718999999999994</v>
      </c>
      <c r="F73" s="95"/>
      <c r="G73" s="87">
        <f t="shared" ref="G73:G79" si="10">E73*F73</f>
        <v>0</v>
      </c>
      <c r="H73" s="87"/>
      <c r="I73" s="87"/>
      <c r="J73" s="87"/>
      <c r="K73" s="87"/>
      <c r="L73" s="87">
        <f t="shared" si="9"/>
        <v>0</v>
      </c>
      <c r="M73" s="89"/>
      <c r="N73" s="89"/>
      <c r="O73" s="89"/>
    </row>
    <row r="74" spans="2:16" s="82" customFormat="1" x14ac:dyDescent="0.3">
      <c r="B74" s="83"/>
      <c r="C74" s="84" t="s">
        <v>135</v>
      </c>
      <c r="D74" s="85" t="s">
        <v>18</v>
      </c>
      <c r="E74" s="86">
        <f>E69</f>
        <v>7.46</v>
      </c>
      <c r="F74" s="87"/>
      <c r="G74" s="87">
        <f t="shared" si="10"/>
        <v>0</v>
      </c>
      <c r="H74" s="87"/>
      <c r="I74" s="87"/>
      <c r="J74" s="87"/>
      <c r="K74" s="87"/>
      <c r="L74" s="87">
        <f t="shared" si="9"/>
        <v>0</v>
      </c>
      <c r="M74" s="89"/>
      <c r="N74" s="89"/>
      <c r="O74" s="89"/>
    </row>
    <row r="75" spans="2:16" s="82" customFormat="1" x14ac:dyDescent="0.3">
      <c r="B75" s="83"/>
      <c r="C75" s="84" t="s">
        <v>136</v>
      </c>
      <c r="D75" s="85" t="s">
        <v>89</v>
      </c>
      <c r="E75" s="86">
        <f>SUM(E76:E78)</f>
        <v>0.56570900000000002</v>
      </c>
      <c r="F75" s="87"/>
      <c r="G75" s="87">
        <f t="shared" si="10"/>
        <v>0</v>
      </c>
      <c r="H75" s="87"/>
      <c r="I75" s="87"/>
      <c r="J75" s="87"/>
      <c r="K75" s="87"/>
      <c r="L75" s="87">
        <f t="shared" si="9"/>
        <v>0</v>
      </c>
      <c r="M75" s="89"/>
      <c r="N75" s="89"/>
      <c r="O75" s="89"/>
    </row>
    <row r="76" spans="2:16" s="88" customFormat="1" x14ac:dyDescent="0.3">
      <c r="B76" s="83"/>
      <c r="C76" s="84" t="s">
        <v>137</v>
      </c>
      <c r="D76" s="85" t="s">
        <v>89</v>
      </c>
      <c r="E76" s="86">
        <f>21.4/1000*1.07</f>
        <v>2.2898000000000002E-2</v>
      </c>
      <c r="F76" s="95"/>
      <c r="G76" s="87">
        <f t="shared" si="10"/>
        <v>0</v>
      </c>
      <c r="H76" s="87"/>
      <c r="I76" s="87"/>
      <c r="J76" s="87"/>
      <c r="K76" s="87"/>
      <c r="L76" s="87">
        <f t="shared" si="9"/>
        <v>0</v>
      </c>
      <c r="M76" s="89"/>
      <c r="N76" s="89"/>
      <c r="O76" s="89"/>
      <c r="P76" s="82"/>
    </row>
    <row r="77" spans="2:16" s="82" customFormat="1" x14ac:dyDescent="0.3">
      <c r="B77" s="83"/>
      <c r="C77" s="84" t="s">
        <v>138</v>
      </c>
      <c r="D77" s="85" t="s">
        <v>89</v>
      </c>
      <c r="E77" s="86">
        <f>337.9/1000*1.07</f>
        <v>0.36155300000000001</v>
      </c>
      <c r="F77" s="95"/>
      <c r="G77" s="87">
        <f t="shared" si="10"/>
        <v>0</v>
      </c>
      <c r="H77" s="87"/>
      <c r="I77" s="87"/>
      <c r="J77" s="87"/>
      <c r="K77" s="87"/>
      <c r="L77" s="87">
        <f t="shared" si="9"/>
        <v>0</v>
      </c>
      <c r="M77" s="89"/>
      <c r="N77" s="89"/>
      <c r="O77" s="89"/>
    </row>
    <row r="78" spans="2:16" s="88" customFormat="1" x14ac:dyDescent="0.3">
      <c r="B78" s="83"/>
      <c r="C78" s="84" t="s">
        <v>139</v>
      </c>
      <c r="D78" s="85" t="s">
        <v>89</v>
      </c>
      <c r="E78" s="86">
        <f>169.4/1000*1.07</f>
        <v>0.181258</v>
      </c>
      <c r="F78" s="95"/>
      <c r="G78" s="87">
        <f t="shared" si="10"/>
        <v>0</v>
      </c>
      <c r="H78" s="87"/>
      <c r="I78" s="87"/>
      <c r="J78" s="87"/>
      <c r="K78" s="87"/>
      <c r="L78" s="87">
        <f t="shared" si="9"/>
        <v>0</v>
      </c>
      <c r="M78" s="89"/>
      <c r="N78" s="89"/>
      <c r="O78" s="89"/>
      <c r="P78" s="82"/>
    </row>
    <row r="79" spans="2:16" s="82" customFormat="1" x14ac:dyDescent="0.3">
      <c r="B79" s="83"/>
      <c r="C79" s="84" t="s">
        <v>81</v>
      </c>
      <c r="D79" s="85" t="s">
        <v>43</v>
      </c>
      <c r="E79" s="86">
        <f>E69</f>
        <v>7.46</v>
      </c>
      <c r="F79" s="87"/>
      <c r="G79" s="87">
        <f t="shared" si="10"/>
        <v>0</v>
      </c>
      <c r="H79" s="87"/>
      <c r="I79" s="87"/>
      <c r="J79" s="87"/>
      <c r="K79" s="87"/>
      <c r="L79" s="87">
        <f t="shared" si="9"/>
        <v>0</v>
      </c>
      <c r="M79" s="89"/>
      <c r="N79" s="89"/>
      <c r="O79" s="89"/>
    </row>
    <row r="80" spans="2:16" s="91" customFormat="1" x14ac:dyDescent="0.3">
      <c r="B80" s="5">
        <f>MAX($B$5:B79)+1</f>
        <v>9</v>
      </c>
      <c r="C80" s="23" t="s">
        <v>141</v>
      </c>
      <c r="D80" s="6" t="s">
        <v>18</v>
      </c>
      <c r="E80" s="7">
        <v>5.7</v>
      </c>
      <c r="F80" s="23"/>
      <c r="G80" s="23"/>
      <c r="H80" s="23"/>
      <c r="I80" s="23"/>
      <c r="J80" s="23"/>
      <c r="K80" s="23"/>
      <c r="L80" s="23"/>
      <c r="M80" s="90"/>
      <c r="N80" s="90"/>
      <c r="O80" s="90"/>
    </row>
    <row r="81" spans="2:16" s="82" customFormat="1" x14ac:dyDescent="0.3">
      <c r="B81" s="83"/>
      <c r="C81" s="84" t="s">
        <v>24</v>
      </c>
      <c r="D81" s="85" t="s">
        <v>18</v>
      </c>
      <c r="E81" s="86">
        <f>E80</f>
        <v>5.7</v>
      </c>
      <c r="F81" s="87"/>
      <c r="G81" s="87"/>
      <c r="H81" s="87"/>
      <c r="I81" s="87">
        <f>E81*H81</f>
        <v>0</v>
      </c>
      <c r="J81" s="87"/>
      <c r="K81" s="87"/>
      <c r="L81" s="87">
        <f>G81+I81+K81</f>
        <v>0</v>
      </c>
      <c r="M81" s="89"/>
      <c r="N81" s="89"/>
      <c r="O81" s="89"/>
    </row>
    <row r="82" spans="2:16" s="82" customFormat="1" x14ac:dyDescent="0.3">
      <c r="B82" s="83"/>
      <c r="C82" s="84" t="s">
        <v>35</v>
      </c>
      <c r="D82" s="85" t="s">
        <v>18</v>
      </c>
      <c r="E82" s="86">
        <f>E80*1.015</f>
        <v>5.7854999999999999</v>
      </c>
      <c r="F82" s="87"/>
      <c r="G82" s="87"/>
      <c r="H82" s="87"/>
      <c r="I82" s="87"/>
      <c r="J82" s="87"/>
      <c r="K82" s="87">
        <f>E82*J82</f>
        <v>0</v>
      </c>
      <c r="L82" s="87">
        <f t="shared" ref="L82:L90" si="11">G82+I82+K82</f>
        <v>0</v>
      </c>
      <c r="M82" s="89"/>
      <c r="N82" s="89"/>
      <c r="O82" s="89"/>
    </row>
    <row r="83" spans="2:16" s="88" customFormat="1" x14ac:dyDescent="0.3">
      <c r="B83" s="83"/>
      <c r="C83" s="84" t="s">
        <v>78</v>
      </c>
      <c r="D83" s="85" t="s">
        <v>43</v>
      </c>
      <c r="E83" s="86">
        <f>E80</f>
        <v>5.7</v>
      </c>
      <c r="F83" s="87"/>
      <c r="G83" s="87"/>
      <c r="H83" s="87"/>
      <c r="I83" s="87"/>
      <c r="J83" s="87"/>
      <c r="K83" s="87">
        <f>E83*J83</f>
        <v>0</v>
      </c>
      <c r="L83" s="87">
        <f t="shared" si="11"/>
        <v>0</v>
      </c>
      <c r="M83" s="89"/>
      <c r="N83" s="89"/>
      <c r="O83" s="89"/>
      <c r="P83" s="82"/>
    </row>
    <row r="84" spans="2:16" s="82" customFormat="1" x14ac:dyDescent="0.3">
      <c r="B84" s="83"/>
      <c r="C84" s="84" t="s">
        <v>134</v>
      </c>
      <c r="D84" s="85" t="s">
        <v>18</v>
      </c>
      <c r="E84" s="86">
        <f>E80*1.015</f>
        <v>5.7854999999999999</v>
      </c>
      <c r="F84" s="95"/>
      <c r="G84" s="87">
        <f t="shared" ref="G84:G90" si="12">E84*F84</f>
        <v>0</v>
      </c>
      <c r="H84" s="87"/>
      <c r="I84" s="87"/>
      <c r="J84" s="87"/>
      <c r="K84" s="87"/>
      <c r="L84" s="87">
        <f t="shared" si="11"/>
        <v>0</v>
      </c>
      <c r="M84" s="89"/>
      <c r="N84" s="89"/>
      <c r="O84" s="89"/>
    </row>
    <row r="85" spans="2:16" s="82" customFormat="1" x14ac:dyDescent="0.3">
      <c r="B85" s="83"/>
      <c r="C85" s="84" t="s">
        <v>135</v>
      </c>
      <c r="D85" s="85" t="s">
        <v>18</v>
      </c>
      <c r="E85" s="86">
        <f>E80</f>
        <v>5.7</v>
      </c>
      <c r="F85" s="87"/>
      <c r="G85" s="87">
        <f t="shared" si="12"/>
        <v>0</v>
      </c>
      <c r="H85" s="87"/>
      <c r="I85" s="87"/>
      <c r="J85" s="87"/>
      <c r="K85" s="87"/>
      <c r="L85" s="87">
        <f t="shared" si="11"/>
        <v>0</v>
      </c>
      <c r="M85" s="89"/>
      <c r="N85" s="89"/>
      <c r="O85" s="89"/>
    </row>
    <row r="86" spans="2:16" s="82" customFormat="1" x14ac:dyDescent="0.3">
      <c r="B86" s="83"/>
      <c r="C86" s="84" t="s">
        <v>136</v>
      </c>
      <c r="D86" s="85" t="s">
        <v>89</v>
      </c>
      <c r="E86" s="86">
        <f>SUM(E87:E89)</f>
        <v>0.44629700000000005</v>
      </c>
      <c r="F86" s="87"/>
      <c r="G86" s="87">
        <f t="shared" si="12"/>
        <v>0</v>
      </c>
      <c r="H86" s="87"/>
      <c r="I86" s="87"/>
      <c r="J86" s="87"/>
      <c r="K86" s="87"/>
      <c r="L86" s="87">
        <f t="shared" si="11"/>
        <v>0</v>
      </c>
      <c r="M86" s="89"/>
      <c r="N86" s="89"/>
      <c r="O86" s="89"/>
    </row>
    <row r="87" spans="2:16" s="88" customFormat="1" x14ac:dyDescent="0.3">
      <c r="B87" s="83"/>
      <c r="C87" s="84" t="s">
        <v>137</v>
      </c>
      <c r="D87" s="85" t="s">
        <v>89</v>
      </c>
      <c r="E87" s="86">
        <f>15.3/1000*1.07</f>
        <v>1.6371000000000004E-2</v>
      </c>
      <c r="F87" s="95"/>
      <c r="G87" s="87">
        <f t="shared" si="12"/>
        <v>0</v>
      </c>
      <c r="H87" s="87"/>
      <c r="I87" s="87"/>
      <c r="J87" s="87"/>
      <c r="K87" s="87"/>
      <c r="L87" s="87">
        <f t="shared" si="11"/>
        <v>0</v>
      </c>
      <c r="M87" s="89"/>
      <c r="N87" s="89"/>
      <c r="O87" s="89"/>
      <c r="P87" s="82"/>
    </row>
    <row r="88" spans="2:16" s="82" customFormat="1" x14ac:dyDescent="0.3">
      <c r="B88" s="83"/>
      <c r="C88" s="84" t="s">
        <v>138</v>
      </c>
      <c r="D88" s="85" t="s">
        <v>89</v>
      </c>
      <c r="E88" s="86">
        <f>265/1000*1.07</f>
        <v>0.28355000000000002</v>
      </c>
      <c r="F88" s="95"/>
      <c r="G88" s="87">
        <f t="shared" si="12"/>
        <v>0</v>
      </c>
      <c r="H88" s="87"/>
      <c r="I88" s="87"/>
      <c r="J88" s="87"/>
      <c r="K88" s="87"/>
      <c r="L88" s="87">
        <f t="shared" si="11"/>
        <v>0</v>
      </c>
      <c r="M88" s="89"/>
      <c r="N88" s="89"/>
      <c r="O88" s="89"/>
    </row>
    <row r="89" spans="2:16" s="88" customFormat="1" x14ac:dyDescent="0.3">
      <c r="B89" s="83"/>
      <c r="C89" s="84" t="s">
        <v>139</v>
      </c>
      <c r="D89" s="85" t="s">
        <v>89</v>
      </c>
      <c r="E89" s="86">
        <f>136.8/1000*1.07</f>
        <v>0.14637600000000001</v>
      </c>
      <c r="F89" s="95"/>
      <c r="G89" s="87">
        <f t="shared" si="12"/>
        <v>0</v>
      </c>
      <c r="H89" s="87"/>
      <c r="I89" s="87"/>
      <c r="J89" s="87"/>
      <c r="K89" s="87"/>
      <c r="L89" s="87">
        <f t="shared" si="11"/>
        <v>0</v>
      </c>
      <c r="M89" s="89"/>
      <c r="N89" s="89"/>
      <c r="O89" s="89"/>
      <c r="P89" s="82"/>
    </row>
    <row r="90" spans="2:16" s="82" customFormat="1" x14ac:dyDescent="0.3">
      <c r="B90" s="83"/>
      <c r="C90" s="84" t="s">
        <v>81</v>
      </c>
      <c r="D90" s="85" t="s">
        <v>43</v>
      </c>
      <c r="E90" s="86">
        <f>E80</f>
        <v>5.7</v>
      </c>
      <c r="F90" s="87"/>
      <c r="G90" s="87">
        <f t="shared" si="12"/>
        <v>0</v>
      </c>
      <c r="H90" s="87"/>
      <c r="I90" s="87"/>
      <c r="J90" s="87"/>
      <c r="K90" s="87"/>
      <c r="L90" s="87">
        <f t="shared" si="11"/>
        <v>0</v>
      </c>
      <c r="M90" s="89"/>
      <c r="N90" s="89"/>
      <c r="O90" s="89"/>
    </row>
    <row r="91" spans="2:16" s="91" customFormat="1" x14ac:dyDescent="0.3">
      <c r="B91" s="5">
        <f>MAX($B$9:B90)+1</f>
        <v>10</v>
      </c>
      <c r="C91" s="23" t="s">
        <v>142</v>
      </c>
      <c r="D91" s="6" t="s">
        <v>18</v>
      </c>
      <c r="E91" s="7">
        <v>14.68</v>
      </c>
      <c r="F91" s="23"/>
      <c r="G91" s="23"/>
      <c r="H91" s="23"/>
      <c r="I91" s="23"/>
      <c r="J91" s="23"/>
      <c r="K91" s="23"/>
      <c r="L91" s="23"/>
      <c r="M91" s="90"/>
      <c r="N91" s="90"/>
      <c r="O91" s="90"/>
    </row>
    <row r="92" spans="2:16" s="82" customFormat="1" x14ac:dyDescent="0.3">
      <c r="B92" s="83"/>
      <c r="C92" s="84" t="s">
        <v>24</v>
      </c>
      <c r="D92" s="85" t="s">
        <v>18</v>
      </c>
      <c r="E92" s="86">
        <f>E91</f>
        <v>14.68</v>
      </c>
      <c r="F92" s="87"/>
      <c r="G92" s="87"/>
      <c r="H92" s="87"/>
      <c r="I92" s="87">
        <f>E92*H92</f>
        <v>0</v>
      </c>
      <c r="J92" s="87"/>
      <c r="K92" s="87"/>
      <c r="L92" s="87">
        <f>G92+I92+K92</f>
        <v>0</v>
      </c>
      <c r="M92" s="89"/>
      <c r="N92" s="89"/>
      <c r="O92" s="89"/>
    </row>
    <row r="93" spans="2:16" s="82" customFormat="1" x14ac:dyDescent="0.3">
      <c r="B93" s="83"/>
      <c r="C93" s="84" t="s">
        <v>35</v>
      </c>
      <c r="D93" s="85" t="s">
        <v>18</v>
      </c>
      <c r="E93" s="86">
        <f>E91*1.015</f>
        <v>14.900199999999998</v>
      </c>
      <c r="F93" s="87"/>
      <c r="G93" s="87"/>
      <c r="H93" s="87"/>
      <c r="I93" s="87"/>
      <c r="J93" s="87"/>
      <c r="K93" s="87">
        <f>E93*J93</f>
        <v>0</v>
      </c>
      <c r="L93" s="87">
        <f t="shared" ref="L93:L101" si="13">G93+I93+K93</f>
        <v>0</v>
      </c>
      <c r="M93" s="89"/>
      <c r="N93" s="89"/>
      <c r="O93" s="89"/>
    </row>
    <row r="94" spans="2:16" s="88" customFormat="1" x14ac:dyDescent="0.3">
      <c r="B94" s="83"/>
      <c r="C94" s="84" t="s">
        <v>78</v>
      </c>
      <c r="D94" s="85" t="s">
        <v>43</v>
      </c>
      <c r="E94" s="86">
        <f>E91</f>
        <v>14.68</v>
      </c>
      <c r="F94" s="87"/>
      <c r="G94" s="87"/>
      <c r="H94" s="87"/>
      <c r="I94" s="87"/>
      <c r="J94" s="87"/>
      <c r="K94" s="87">
        <f>E94*J94</f>
        <v>0</v>
      </c>
      <c r="L94" s="87">
        <f t="shared" si="13"/>
        <v>0</v>
      </c>
      <c r="M94" s="89"/>
      <c r="N94" s="89"/>
      <c r="O94" s="89"/>
      <c r="P94" s="82"/>
    </row>
    <row r="95" spans="2:16" s="82" customFormat="1" x14ac:dyDescent="0.3">
      <c r="B95" s="83"/>
      <c r="C95" s="84" t="s">
        <v>134</v>
      </c>
      <c r="D95" s="85" t="s">
        <v>18</v>
      </c>
      <c r="E95" s="86">
        <f>E91*1.015</f>
        <v>14.900199999999998</v>
      </c>
      <c r="F95" s="95"/>
      <c r="G95" s="87">
        <f t="shared" ref="G95:G101" si="14">E95*F95</f>
        <v>0</v>
      </c>
      <c r="H95" s="87"/>
      <c r="I95" s="87"/>
      <c r="J95" s="87"/>
      <c r="K95" s="87"/>
      <c r="L95" s="87">
        <f t="shared" si="13"/>
        <v>0</v>
      </c>
      <c r="M95" s="89"/>
      <c r="N95" s="89"/>
      <c r="O95" s="89"/>
    </row>
    <row r="96" spans="2:16" s="82" customFormat="1" x14ac:dyDescent="0.3">
      <c r="B96" s="83"/>
      <c r="C96" s="84" t="s">
        <v>135</v>
      </c>
      <c r="D96" s="85" t="s">
        <v>18</v>
      </c>
      <c r="E96" s="86">
        <f>E91</f>
        <v>14.68</v>
      </c>
      <c r="F96" s="87"/>
      <c r="G96" s="87">
        <f t="shared" si="14"/>
        <v>0</v>
      </c>
      <c r="H96" s="87"/>
      <c r="I96" s="87"/>
      <c r="J96" s="87"/>
      <c r="K96" s="87"/>
      <c r="L96" s="87">
        <f t="shared" si="13"/>
        <v>0</v>
      </c>
      <c r="M96" s="89"/>
      <c r="N96" s="89"/>
      <c r="O96" s="89"/>
    </row>
    <row r="97" spans="2:16" s="82" customFormat="1" x14ac:dyDescent="0.3">
      <c r="B97" s="83"/>
      <c r="C97" s="84" t="s">
        <v>136</v>
      </c>
      <c r="D97" s="85" t="s">
        <v>89</v>
      </c>
      <c r="E97" s="86">
        <f>SUM(E98:E100)</f>
        <v>1.11494</v>
      </c>
      <c r="F97" s="87"/>
      <c r="G97" s="87">
        <f t="shared" si="14"/>
        <v>0</v>
      </c>
      <c r="H97" s="87"/>
      <c r="I97" s="87"/>
      <c r="J97" s="87"/>
      <c r="K97" s="87"/>
      <c r="L97" s="87">
        <f t="shared" si="13"/>
        <v>0</v>
      </c>
      <c r="M97" s="89"/>
      <c r="N97" s="89"/>
      <c r="O97" s="89"/>
    </row>
    <row r="98" spans="2:16" s="88" customFormat="1" x14ac:dyDescent="0.3">
      <c r="B98" s="83"/>
      <c r="C98" s="84" t="s">
        <v>137</v>
      </c>
      <c r="D98" s="85" t="s">
        <v>89</v>
      </c>
      <c r="E98" s="86">
        <f>43.1/1000*1.07</f>
        <v>4.6117000000000005E-2</v>
      </c>
      <c r="F98" s="95"/>
      <c r="G98" s="87">
        <f t="shared" si="14"/>
        <v>0</v>
      </c>
      <c r="H98" s="87"/>
      <c r="I98" s="87"/>
      <c r="J98" s="87"/>
      <c r="K98" s="87"/>
      <c r="L98" s="87">
        <f t="shared" si="13"/>
        <v>0</v>
      </c>
      <c r="M98" s="89"/>
      <c r="N98" s="89"/>
      <c r="O98" s="89"/>
      <c r="P98" s="82"/>
    </row>
    <row r="99" spans="2:16" s="82" customFormat="1" x14ac:dyDescent="0.3">
      <c r="B99" s="83"/>
      <c r="C99" s="84" t="s">
        <v>138</v>
      </c>
      <c r="D99" s="85" t="s">
        <v>89</v>
      </c>
      <c r="E99" s="86">
        <f>660.3/1000*1.07</f>
        <v>0.70652100000000007</v>
      </c>
      <c r="F99" s="95"/>
      <c r="G99" s="87">
        <f t="shared" si="14"/>
        <v>0</v>
      </c>
      <c r="H99" s="87"/>
      <c r="I99" s="87"/>
      <c r="J99" s="87"/>
      <c r="K99" s="87"/>
      <c r="L99" s="87">
        <f t="shared" si="13"/>
        <v>0</v>
      </c>
      <c r="M99" s="89"/>
      <c r="N99" s="89"/>
      <c r="O99" s="89"/>
    </row>
    <row r="100" spans="2:16" s="88" customFormat="1" x14ac:dyDescent="0.3">
      <c r="B100" s="83"/>
      <c r="C100" s="84" t="s">
        <v>139</v>
      </c>
      <c r="D100" s="85" t="s">
        <v>89</v>
      </c>
      <c r="E100" s="86">
        <f>338.6/1000*1.07</f>
        <v>0.36230200000000001</v>
      </c>
      <c r="F100" s="95"/>
      <c r="G100" s="87">
        <f t="shared" si="14"/>
        <v>0</v>
      </c>
      <c r="H100" s="87"/>
      <c r="I100" s="87"/>
      <c r="J100" s="87"/>
      <c r="K100" s="87"/>
      <c r="L100" s="87">
        <f t="shared" si="13"/>
        <v>0</v>
      </c>
      <c r="M100" s="89"/>
      <c r="N100" s="89"/>
      <c r="O100" s="89"/>
      <c r="P100" s="82"/>
    </row>
    <row r="101" spans="2:16" s="82" customFormat="1" x14ac:dyDescent="0.3">
      <c r="B101" s="83"/>
      <c r="C101" s="84" t="s">
        <v>81</v>
      </c>
      <c r="D101" s="85" t="s">
        <v>43</v>
      </c>
      <c r="E101" s="86">
        <f>E91</f>
        <v>14.68</v>
      </c>
      <c r="F101" s="87"/>
      <c r="G101" s="87">
        <f t="shared" si="14"/>
        <v>0</v>
      </c>
      <c r="H101" s="87"/>
      <c r="I101" s="87"/>
      <c r="J101" s="87"/>
      <c r="K101" s="87"/>
      <c r="L101" s="87">
        <f t="shared" si="13"/>
        <v>0</v>
      </c>
      <c r="M101" s="89"/>
      <c r="N101" s="89"/>
      <c r="O101" s="89"/>
    </row>
    <row r="102" spans="2:16" s="91" customFormat="1" x14ac:dyDescent="0.3">
      <c r="B102" s="5">
        <f>MAX($B$5:B101)+1</f>
        <v>11</v>
      </c>
      <c r="C102" s="23" t="s">
        <v>143</v>
      </c>
      <c r="D102" s="6" t="s">
        <v>18</v>
      </c>
      <c r="E102" s="7">
        <v>18.71</v>
      </c>
      <c r="F102" s="23"/>
      <c r="G102" s="23"/>
      <c r="H102" s="23"/>
      <c r="I102" s="23"/>
      <c r="J102" s="23"/>
      <c r="K102" s="23"/>
      <c r="L102" s="23"/>
      <c r="M102" s="90"/>
      <c r="N102" s="90"/>
      <c r="O102" s="90"/>
    </row>
    <row r="103" spans="2:16" s="82" customFormat="1" x14ac:dyDescent="0.3">
      <c r="B103" s="83"/>
      <c r="C103" s="84" t="s">
        <v>24</v>
      </c>
      <c r="D103" s="85" t="s">
        <v>18</v>
      </c>
      <c r="E103" s="86">
        <f>E102</f>
        <v>18.71</v>
      </c>
      <c r="F103" s="87"/>
      <c r="G103" s="87"/>
      <c r="H103" s="87"/>
      <c r="I103" s="87">
        <f>E103*H103</f>
        <v>0</v>
      </c>
      <c r="J103" s="87"/>
      <c r="K103" s="87"/>
      <c r="L103" s="87">
        <f>G103+I103+K103</f>
        <v>0</v>
      </c>
      <c r="M103" s="89"/>
      <c r="N103" s="89"/>
      <c r="O103" s="89"/>
    </row>
    <row r="104" spans="2:16" s="82" customFormat="1" x14ac:dyDescent="0.3">
      <c r="B104" s="83"/>
      <c r="C104" s="84" t="s">
        <v>35</v>
      </c>
      <c r="D104" s="85" t="s">
        <v>18</v>
      </c>
      <c r="E104" s="86">
        <f>E102*1.015</f>
        <v>18.990649999999999</v>
      </c>
      <c r="F104" s="87"/>
      <c r="G104" s="87"/>
      <c r="H104" s="87"/>
      <c r="I104" s="87"/>
      <c r="J104" s="87"/>
      <c r="K104" s="87">
        <f>E104*J104</f>
        <v>0</v>
      </c>
      <c r="L104" s="87">
        <f t="shared" ref="L104:L112" si="15">G104+I104+K104</f>
        <v>0</v>
      </c>
      <c r="M104" s="89"/>
      <c r="N104" s="89"/>
      <c r="O104" s="89"/>
    </row>
    <row r="105" spans="2:16" s="88" customFormat="1" x14ac:dyDescent="0.3">
      <c r="B105" s="83"/>
      <c r="C105" s="84" t="s">
        <v>78</v>
      </c>
      <c r="D105" s="85" t="s">
        <v>43</v>
      </c>
      <c r="E105" s="86">
        <f>E102</f>
        <v>18.71</v>
      </c>
      <c r="F105" s="87"/>
      <c r="G105" s="87"/>
      <c r="H105" s="87"/>
      <c r="I105" s="87"/>
      <c r="J105" s="87"/>
      <c r="K105" s="87">
        <f>E105*J105</f>
        <v>0</v>
      </c>
      <c r="L105" s="87">
        <f t="shared" si="15"/>
        <v>0</v>
      </c>
      <c r="M105" s="89"/>
      <c r="N105" s="89"/>
      <c r="O105" s="89"/>
      <c r="P105" s="82"/>
    </row>
    <row r="106" spans="2:16" s="82" customFormat="1" x14ac:dyDescent="0.3">
      <c r="B106" s="83"/>
      <c r="C106" s="84" t="s">
        <v>134</v>
      </c>
      <c r="D106" s="85" t="s">
        <v>18</v>
      </c>
      <c r="E106" s="86">
        <f>E102*1.015</f>
        <v>18.990649999999999</v>
      </c>
      <c r="F106" s="95"/>
      <c r="G106" s="87">
        <f t="shared" ref="G106:G112" si="16">E106*F106</f>
        <v>0</v>
      </c>
      <c r="H106" s="87"/>
      <c r="I106" s="87"/>
      <c r="J106" s="87"/>
      <c r="K106" s="87"/>
      <c r="L106" s="87">
        <f t="shared" si="15"/>
        <v>0</v>
      </c>
      <c r="M106" s="89"/>
      <c r="N106" s="89"/>
      <c r="O106" s="89"/>
    </row>
    <row r="107" spans="2:16" s="82" customFormat="1" x14ac:dyDescent="0.3">
      <c r="B107" s="83"/>
      <c r="C107" s="84" t="s">
        <v>135</v>
      </c>
      <c r="D107" s="85" t="s">
        <v>18</v>
      </c>
      <c r="E107" s="86">
        <f>E102</f>
        <v>18.71</v>
      </c>
      <c r="F107" s="87"/>
      <c r="G107" s="87">
        <f t="shared" si="16"/>
        <v>0</v>
      </c>
      <c r="H107" s="87"/>
      <c r="I107" s="87"/>
      <c r="J107" s="87"/>
      <c r="K107" s="87"/>
      <c r="L107" s="87">
        <f t="shared" si="15"/>
        <v>0</v>
      </c>
      <c r="M107" s="89"/>
      <c r="N107" s="89"/>
      <c r="O107" s="89"/>
    </row>
    <row r="108" spans="2:16" s="82" customFormat="1" x14ac:dyDescent="0.3">
      <c r="B108" s="83"/>
      <c r="C108" s="84" t="s">
        <v>136</v>
      </c>
      <c r="D108" s="85" t="s">
        <v>89</v>
      </c>
      <c r="E108" s="86">
        <f>SUM(E109:E111)</f>
        <v>1.1733620000000002</v>
      </c>
      <c r="F108" s="87"/>
      <c r="G108" s="87">
        <f t="shared" si="16"/>
        <v>0</v>
      </c>
      <c r="H108" s="87"/>
      <c r="I108" s="87"/>
      <c r="J108" s="87"/>
      <c r="K108" s="87"/>
      <c r="L108" s="87">
        <f t="shared" si="15"/>
        <v>0</v>
      </c>
      <c r="M108" s="89"/>
      <c r="N108" s="89"/>
      <c r="O108" s="89"/>
    </row>
    <row r="109" spans="2:16" s="88" customFormat="1" x14ac:dyDescent="0.3">
      <c r="B109" s="83"/>
      <c r="C109" s="84" t="s">
        <v>137</v>
      </c>
      <c r="D109" s="85" t="s">
        <v>89</v>
      </c>
      <c r="E109" s="86">
        <f>31.6/1000*1.07</f>
        <v>3.3812000000000009E-2</v>
      </c>
      <c r="F109" s="95"/>
      <c r="G109" s="87">
        <f t="shared" si="16"/>
        <v>0</v>
      </c>
      <c r="H109" s="87"/>
      <c r="I109" s="87"/>
      <c r="J109" s="87"/>
      <c r="K109" s="87"/>
      <c r="L109" s="87">
        <f t="shared" si="15"/>
        <v>0</v>
      </c>
      <c r="M109" s="89"/>
      <c r="N109" s="89"/>
      <c r="O109" s="89"/>
      <c r="P109" s="82"/>
    </row>
    <row r="110" spans="2:16" s="82" customFormat="1" x14ac:dyDescent="0.3">
      <c r="B110" s="83"/>
      <c r="C110" s="84" t="s">
        <v>138</v>
      </c>
      <c r="D110" s="85" t="s">
        <v>89</v>
      </c>
      <c r="E110" s="86">
        <f>619.7/1000*1.07</f>
        <v>0.66307900000000009</v>
      </c>
      <c r="F110" s="95"/>
      <c r="G110" s="87">
        <f t="shared" si="16"/>
        <v>0</v>
      </c>
      <c r="H110" s="87"/>
      <c r="I110" s="87"/>
      <c r="J110" s="87"/>
      <c r="K110" s="87"/>
      <c r="L110" s="87">
        <f t="shared" si="15"/>
        <v>0</v>
      </c>
      <c r="M110" s="89"/>
      <c r="N110" s="89"/>
      <c r="O110" s="89"/>
    </row>
    <row r="111" spans="2:16" s="88" customFormat="1" x14ac:dyDescent="0.3">
      <c r="B111" s="83"/>
      <c r="C111" s="84" t="s">
        <v>144</v>
      </c>
      <c r="D111" s="85" t="s">
        <v>89</v>
      </c>
      <c r="E111" s="86">
        <f>445.3/1000*1.07</f>
        <v>0.47647100000000003</v>
      </c>
      <c r="F111" s="95"/>
      <c r="G111" s="87">
        <f t="shared" si="16"/>
        <v>0</v>
      </c>
      <c r="H111" s="87"/>
      <c r="I111" s="87"/>
      <c r="J111" s="87"/>
      <c r="K111" s="87"/>
      <c r="L111" s="87">
        <f t="shared" si="15"/>
        <v>0</v>
      </c>
      <c r="M111" s="89"/>
      <c r="N111" s="89"/>
      <c r="O111" s="89"/>
      <c r="P111" s="82"/>
    </row>
    <row r="112" spans="2:16" s="82" customFormat="1" x14ac:dyDescent="0.3">
      <c r="B112" s="83"/>
      <c r="C112" s="84" t="s">
        <v>81</v>
      </c>
      <c r="D112" s="85" t="s">
        <v>43</v>
      </c>
      <c r="E112" s="86">
        <f>E102</f>
        <v>18.71</v>
      </c>
      <c r="F112" s="87"/>
      <c r="G112" s="87">
        <f t="shared" si="16"/>
        <v>0</v>
      </c>
      <c r="H112" s="87"/>
      <c r="I112" s="87"/>
      <c r="J112" s="87"/>
      <c r="K112" s="87"/>
      <c r="L112" s="87">
        <f t="shared" si="15"/>
        <v>0</v>
      </c>
      <c r="M112" s="89"/>
      <c r="N112" s="89"/>
      <c r="O112" s="89"/>
    </row>
    <row r="113" spans="2:16" s="91" customFormat="1" x14ac:dyDescent="0.3">
      <c r="B113" s="5">
        <f>MAX($B$5:B112)+1</f>
        <v>12</v>
      </c>
      <c r="C113" s="23" t="s">
        <v>148</v>
      </c>
      <c r="D113" s="6" t="s">
        <v>18</v>
      </c>
      <c r="E113" s="7">
        <v>21</v>
      </c>
      <c r="F113" s="23"/>
      <c r="G113" s="23"/>
      <c r="H113" s="23"/>
      <c r="I113" s="23"/>
      <c r="J113" s="23"/>
      <c r="K113" s="23"/>
      <c r="L113" s="23"/>
      <c r="M113" s="90"/>
      <c r="N113" s="90"/>
      <c r="O113" s="90"/>
    </row>
    <row r="114" spans="2:16" s="82" customFormat="1" x14ac:dyDescent="0.3">
      <c r="B114" s="83"/>
      <c r="C114" s="84" t="s">
        <v>24</v>
      </c>
      <c r="D114" s="85" t="s">
        <v>18</v>
      </c>
      <c r="E114" s="86">
        <f>E113</f>
        <v>21</v>
      </c>
      <c r="F114" s="87"/>
      <c r="G114" s="87"/>
      <c r="H114" s="87"/>
      <c r="I114" s="87">
        <f>E114*H114</f>
        <v>0</v>
      </c>
      <c r="J114" s="87"/>
      <c r="K114" s="87"/>
      <c r="L114" s="87">
        <f>G114+I114+K114</f>
        <v>0</v>
      </c>
      <c r="M114" s="89"/>
      <c r="N114" s="89"/>
      <c r="O114" s="89"/>
    </row>
    <row r="115" spans="2:16" s="82" customFormat="1" x14ac:dyDescent="0.3">
      <c r="B115" s="83"/>
      <c r="C115" s="84" t="s">
        <v>35</v>
      </c>
      <c r="D115" s="85" t="s">
        <v>18</v>
      </c>
      <c r="E115" s="86">
        <f>E113*1.015</f>
        <v>21.314999999999998</v>
      </c>
      <c r="F115" s="87"/>
      <c r="G115" s="87"/>
      <c r="H115" s="87"/>
      <c r="I115" s="87"/>
      <c r="J115" s="87"/>
      <c r="K115" s="87">
        <f>E115*J115</f>
        <v>0</v>
      </c>
      <c r="L115" s="87">
        <f t="shared" ref="L115:L123" si="17">G115+I115+K115</f>
        <v>0</v>
      </c>
      <c r="M115" s="89"/>
      <c r="N115" s="89"/>
      <c r="O115" s="89"/>
    </row>
    <row r="116" spans="2:16" s="88" customFormat="1" x14ac:dyDescent="0.3">
      <c r="B116" s="83"/>
      <c r="C116" s="84" t="s">
        <v>78</v>
      </c>
      <c r="D116" s="85" t="s">
        <v>43</v>
      </c>
      <c r="E116" s="86">
        <f>E113</f>
        <v>21</v>
      </c>
      <c r="F116" s="87"/>
      <c r="G116" s="87"/>
      <c r="H116" s="87"/>
      <c r="I116" s="87"/>
      <c r="J116" s="87"/>
      <c r="K116" s="87">
        <f>E116*J116</f>
        <v>0</v>
      </c>
      <c r="L116" s="87">
        <f t="shared" si="17"/>
        <v>0</v>
      </c>
      <c r="M116" s="89"/>
      <c r="N116" s="89"/>
      <c r="O116" s="89"/>
      <c r="P116" s="82"/>
    </row>
    <row r="117" spans="2:16" s="82" customFormat="1" x14ac:dyDescent="0.3">
      <c r="B117" s="83"/>
      <c r="C117" s="84" t="s">
        <v>134</v>
      </c>
      <c r="D117" s="85" t="s">
        <v>18</v>
      </c>
      <c r="E117" s="86">
        <f>E113*1.015</f>
        <v>21.314999999999998</v>
      </c>
      <c r="F117" s="95"/>
      <c r="G117" s="87">
        <f t="shared" ref="G117:G123" si="18">E117*F117</f>
        <v>0</v>
      </c>
      <c r="H117" s="87"/>
      <c r="I117" s="87"/>
      <c r="J117" s="87"/>
      <c r="K117" s="87"/>
      <c r="L117" s="87">
        <f t="shared" si="17"/>
        <v>0</v>
      </c>
      <c r="M117" s="89"/>
      <c r="N117" s="89"/>
      <c r="O117" s="89"/>
    </row>
    <row r="118" spans="2:16" s="82" customFormat="1" x14ac:dyDescent="0.3">
      <c r="B118" s="83"/>
      <c r="C118" s="84" t="s">
        <v>135</v>
      </c>
      <c r="D118" s="85" t="s">
        <v>18</v>
      </c>
      <c r="E118" s="86">
        <f>E113</f>
        <v>21</v>
      </c>
      <c r="F118" s="87"/>
      <c r="G118" s="87">
        <f t="shared" si="18"/>
        <v>0</v>
      </c>
      <c r="H118" s="87"/>
      <c r="I118" s="87"/>
      <c r="J118" s="87"/>
      <c r="K118" s="87"/>
      <c r="L118" s="87">
        <f t="shared" si="17"/>
        <v>0</v>
      </c>
      <c r="M118" s="89"/>
      <c r="N118" s="89"/>
      <c r="O118" s="89"/>
    </row>
    <row r="119" spans="2:16" s="82" customFormat="1" x14ac:dyDescent="0.3">
      <c r="B119" s="83"/>
      <c r="C119" s="84" t="s">
        <v>136</v>
      </c>
      <c r="D119" s="85" t="s">
        <v>89</v>
      </c>
      <c r="E119" s="86">
        <f>SUM(E120:E122)</f>
        <v>2.0954999999999999</v>
      </c>
      <c r="F119" s="87"/>
      <c r="G119" s="87">
        <f t="shared" si="18"/>
        <v>0</v>
      </c>
      <c r="H119" s="87"/>
      <c r="I119" s="87"/>
      <c r="J119" s="87"/>
      <c r="K119" s="87"/>
      <c r="L119" s="87">
        <f t="shared" si="17"/>
        <v>0</v>
      </c>
      <c r="M119" s="89"/>
      <c r="N119" s="89"/>
      <c r="O119" s="89"/>
    </row>
    <row r="120" spans="2:16" s="88" customFormat="1" x14ac:dyDescent="0.3">
      <c r="B120" s="83"/>
      <c r="C120" s="84" t="s">
        <v>137</v>
      </c>
      <c r="D120" s="85" t="s">
        <v>89</v>
      </c>
      <c r="E120" s="86">
        <f>12.6/1000+23.7/1000</f>
        <v>3.6299999999999999E-2</v>
      </c>
      <c r="F120" s="95"/>
      <c r="G120" s="87">
        <f t="shared" si="18"/>
        <v>0</v>
      </c>
      <c r="H120" s="87"/>
      <c r="I120" s="87"/>
      <c r="J120" s="87"/>
      <c r="K120" s="87"/>
      <c r="L120" s="87">
        <f t="shared" si="17"/>
        <v>0</v>
      </c>
      <c r="M120" s="89"/>
      <c r="N120" s="89"/>
      <c r="O120" s="89"/>
      <c r="P120" s="82"/>
    </row>
    <row r="121" spans="2:16" s="82" customFormat="1" x14ac:dyDescent="0.3">
      <c r="B121" s="83"/>
      <c r="C121" s="84" t="s">
        <v>138</v>
      </c>
      <c r="D121" s="85" t="s">
        <v>89</v>
      </c>
      <c r="E121" s="86">
        <f>428.6/1000+23.4/1000+147.8/1000+97.8/100</f>
        <v>1.5777999999999999</v>
      </c>
      <c r="F121" s="95"/>
      <c r="G121" s="87">
        <f t="shared" si="18"/>
        <v>0</v>
      </c>
      <c r="H121" s="87"/>
      <c r="I121" s="87"/>
      <c r="J121" s="87"/>
      <c r="K121" s="87"/>
      <c r="L121" s="87">
        <f t="shared" si="17"/>
        <v>0</v>
      </c>
      <c r="M121" s="89"/>
      <c r="N121" s="89"/>
      <c r="O121" s="89"/>
    </row>
    <row r="122" spans="2:16" s="88" customFormat="1" x14ac:dyDescent="0.3">
      <c r="B122" s="83"/>
      <c r="C122" s="84" t="s">
        <v>144</v>
      </c>
      <c r="D122" s="85" t="s">
        <v>89</v>
      </c>
      <c r="E122" s="86">
        <f>290/1000+191.4/1000</f>
        <v>0.48139999999999999</v>
      </c>
      <c r="F122" s="95"/>
      <c r="G122" s="87">
        <f t="shared" si="18"/>
        <v>0</v>
      </c>
      <c r="H122" s="87"/>
      <c r="I122" s="87"/>
      <c r="J122" s="87"/>
      <c r="K122" s="87"/>
      <c r="L122" s="87">
        <f t="shared" si="17"/>
        <v>0</v>
      </c>
      <c r="M122" s="89"/>
      <c r="N122" s="89"/>
      <c r="O122" s="89"/>
      <c r="P122" s="82"/>
    </row>
    <row r="123" spans="2:16" s="82" customFormat="1" x14ac:dyDescent="0.3">
      <c r="B123" s="83"/>
      <c r="C123" s="84" t="s">
        <v>81</v>
      </c>
      <c r="D123" s="85" t="s">
        <v>43</v>
      </c>
      <c r="E123" s="86">
        <f>E113</f>
        <v>21</v>
      </c>
      <c r="F123" s="87"/>
      <c r="G123" s="87">
        <f t="shared" si="18"/>
        <v>0</v>
      </c>
      <c r="H123" s="87"/>
      <c r="I123" s="87"/>
      <c r="J123" s="87"/>
      <c r="K123" s="87"/>
      <c r="L123" s="87">
        <f t="shared" si="17"/>
        <v>0</v>
      </c>
      <c r="M123" s="89"/>
      <c r="N123" s="89"/>
      <c r="O123" s="89"/>
    </row>
    <row r="124" spans="2:16" s="91" customFormat="1" x14ac:dyDescent="0.3">
      <c r="B124" s="5">
        <f>MAX($B$5:B123)+1</f>
        <v>13</v>
      </c>
      <c r="C124" s="23" t="s">
        <v>145</v>
      </c>
      <c r="D124" s="6" t="s">
        <v>18</v>
      </c>
      <c r="E124" s="7">
        <v>10.79</v>
      </c>
      <c r="F124" s="23"/>
      <c r="G124" s="23"/>
      <c r="H124" s="23"/>
      <c r="I124" s="23"/>
      <c r="J124" s="23"/>
      <c r="K124" s="23"/>
      <c r="L124" s="23"/>
      <c r="M124" s="90"/>
      <c r="N124" s="90"/>
      <c r="O124" s="90"/>
    </row>
    <row r="125" spans="2:16" s="82" customFormat="1" x14ac:dyDescent="0.3">
      <c r="B125" s="83"/>
      <c r="C125" s="84" t="s">
        <v>24</v>
      </c>
      <c r="D125" s="85" t="s">
        <v>18</v>
      </c>
      <c r="E125" s="86">
        <f>E124</f>
        <v>10.79</v>
      </c>
      <c r="F125" s="87"/>
      <c r="G125" s="87"/>
      <c r="H125" s="87"/>
      <c r="I125" s="87">
        <f>E125*H125</f>
        <v>0</v>
      </c>
      <c r="J125" s="87"/>
      <c r="K125" s="87"/>
      <c r="L125" s="87">
        <f>G125+I125+K125</f>
        <v>0</v>
      </c>
      <c r="M125" s="89"/>
      <c r="N125" s="89"/>
      <c r="O125" s="89"/>
    </row>
    <row r="126" spans="2:16" s="82" customFormat="1" x14ac:dyDescent="0.3">
      <c r="B126" s="83"/>
      <c r="C126" s="84" t="s">
        <v>35</v>
      </c>
      <c r="D126" s="85" t="s">
        <v>18</v>
      </c>
      <c r="E126" s="86">
        <f>E124*1.015</f>
        <v>10.951849999999999</v>
      </c>
      <c r="F126" s="87"/>
      <c r="G126" s="87"/>
      <c r="H126" s="87"/>
      <c r="I126" s="87"/>
      <c r="J126" s="87"/>
      <c r="K126" s="87">
        <f>E126*J126</f>
        <v>0</v>
      </c>
      <c r="L126" s="87">
        <f t="shared" ref="L126:L134" si="19">G126+I126+K126</f>
        <v>0</v>
      </c>
      <c r="M126" s="89"/>
      <c r="N126" s="89"/>
      <c r="O126" s="89"/>
    </row>
    <row r="127" spans="2:16" s="88" customFormat="1" x14ac:dyDescent="0.3">
      <c r="B127" s="83"/>
      <c r="C127" s="84" t="s">
        <v>78</v>
      </c>
      <c r="D127" s="85" t="s">
        <v>43</v>
      </c>
      <c r="E127" s="86">
        <f>E124</f>
        <v>10.79</v>
      </c>
      <c r="F127" s="87"/>
      <c r="G127" s="87"/>
      <c r="H127" s="87"/>
      <c r="I127" s="87"/>
      <c r="J127" s="87"/>
      <c r="K127" s="87">
        <f>E127*J127</f>
        <v>0</v>
      </c>
      <c r="L127" s="87">
        <f t="shared" si="19"/>
        <v>0</v>
      </c>
      <c r="M127" s="89"/>
      <c r="N127" s="89"/>
      <c r="O127" s="89"/>
      <c r="P127" s="82"/>
    </row>
    <row r="128" spans="2:16" s="82" customFormat="1" x14ac:dyDescent="0.3">
      <c r="B128" s="83"/>
      <c r="C128" s="84" t="s">
        <v>134</v>
      </c>
      <c r="D128" s="85" t="s">
        <v>18</v>
      </c>
      <c r="E128" s="86">
        <f>E124*1.015</f>
        <v>10.951849999999999</v>
      </c>
      <c r="F128" s="95"/>
      <c r="G128" s="87">
        <f t="shared" ref="G128:G134" si="20">E128*F128</f>
        <v>0</v>
      </c>
      <c r="H128" s="87"/>
      <c r="I128" s="87"/>
      <c r="J128" s="87"/>
      <c r="K128" s="87"/>
      <c r="L128" s="87">
        <f t="shared" si="19"/>
        <v>0</v>
      </c>
      <c r="M128" s="89"/>
      <c r="N128" s="89"/>
      <c r="O128" s="89"/>
    </row>
    <row r="129" spans="2:16" s="82" customFormat="1" x14ac:dyDescent="0.3">
      <c r="B129" s="83"/>
      <c r="C129" s="84" t="s">
        <v>135</v>
      </c>
      <c r="D129" s="85" t="s">
        <v>18</v>
      </c>
      <c r="E129" s="86">
        <f>E124</f>
        <v>10.79</v>
      </c>
      <c r="F129" s="87"/>
      <c r="G129" s="87">
        <f t="shared" si="20"/>
        <v>0</v>
      </c>
      <c r="H129" s="87"/>
      <c r="I129" s="87"/>
      <c r="J129" s="87"/>
      <c r="K129" s="87"/>
      <c r="L129" s="87">
        <f t="shared" si="19"/>
        <v>0</v>
      </c>
      <c r="M129" s="89"/>
      <c r="N129" s="89"/>
      <c r="O129" s="89"/>
    </row>
    <row r="130" spans="2:16" s="82" customFormat="1" x14ac:dyDescent="0.3">
      <c r="B130" s="83"/>
      <c r="C130" s="84" t="s">
        <v>136</v>
      </c>
      <c r="D130" s="85" t="s">
        <v>89</v>
      </c>
      <c r="E130" s="86">
        <f>SUM(E131:E133)</f>
        <v>0.75167500000000009</v>
      </c>
      <c r="F130" s="87"/>
      <c r="G130" s="87">
        <f t="shared" si="20"/>
        <v>0</v>
      </c>
      <c r="H130" s="87"/>
      <c r="I130" s="87"/>
      <c r="J130" s="87"/>
      <c r="K130" s="87"/>
      <c r="L130" s="87">
        <f t="shared" si="19"/>
        <v>0</v>
      </c>
      <c r="M130" s="89"/>
      <c r="N130" s="89"/>
      <c r="O130" s="89"/>
    </row>
    <row r="131" spans="2:16" s="88" customFormat="1" x14ac:dyDescent="0.3">
      <c r="B131" s="83"/>
      <c r="C131" s="84" t="s">
        <v>137</v>
      </c>
      <c r="D131" s="85" t="s">
        <v>89</v>
      </c>
      <c r="E131" s="86">
        <f>23.3/1000*1.07</f>
        <v>2.4931000000000002E-2</v>
      </c>
      <c r="F131" s="95"/>
      <c r="G131" s="87">
        <f t="shared" si="20"/>
        <v>0</v>
      </c>
      <c r="H131" s="87"/>
      <c r="I131" s="87"/>
      <c r="J131" s="87"/>
      <c r="K131" s="87"/>
      <c r="L131" s="87">
        <f t="shared" si="19"/>
        <v>0</v>
      </c>
      <c r="M131" s="89"/>
      <c r="N131" s="89"/>
      <c r="O131" s="89"/>
      <c r="P131" s="82"/>
    </row>
    <row r="132" spans="2:16" s="82" customFormat="1" x14ac:dyDescent="0.3">
      <c r="B132" s="83"/>
      <c r="C132" s="84" t="s">
        <v>138</v>
      </c>
      <c r="D132" s="85" t="s">
        <v>89</v>
      </c>
      <c r="E132" s="86">
        <f>435.1/1000*1.07</f>
        <v>0.46555700000000005</v>
      </c>
      <c r="F132" s="95"/>
      <c r="G132" s="87">
        <f t="shared" si="20"/>
        <v>0</v>
      </c>
      <c r="H132" s="87"/>
      <c r="I132" s="87"/>
      <c r="J132" s="87"/>
      <c r="K132" s="87"/>
      <c r="L132" s="87">
        <f t="shared" si="19"/>
        <v>0</v>
      </c>
      <c r="M132" s="89"/>
      <c r="N132" s="89"/>
      <c r="O132" s="89"/>
    </row>
    <row r="133" spans="2:16" s="88" customFormat="1" x14ac:dyDescent="0.3">
      <c r="B133" s="83"/>
      <c r="C133" s="84" t="s">
        <v>139</v>
      </c>
      <c r="D133" s="85" t="s">
        <v>89</v>
      </c>
      <c r="E133" s="86">
        <f>244.1/1000*1.07</f>
        <v>0.261187</v>
      </c>
      <c r="F133" s="95"/>
      <c r="G133" s="87">
        <f t="shared" si="20"/>
        <v>0</v>
      </c>
      <c r="H133" s="87"/>
      <c r="I133" s="87"/>
      <c r="J133" s="87"/>
      <c r="K133" s="87"/>
      <c r="L133" s="87">
        <f t="shared" si="19"/>
        <v>0</v>
      </c>
      <c r="M133" s="89"/>
      <c r="N133" s="89"/>
      <c r="O133" s="89"/>
      <c r="P133" s="82"/>
    </row>
    <row r="134" spans="2:16" s="82" customFormat="1" x14ac:dyDescent="0.3">
      <c r="B134" s="83"/>
      <c r="C134" s="84" t="s">
        <v>81</v>
      </c>
      <c r="D134" s="85" t="s">
        <v>43</v>
      </c>
      <c r="E134" s="86">
        <f>E124</f>
        <v>10.79</v>
      </c>
      <c r="F134" s="87"/>
      <c r="G134" s="87">
        <f t="shared" si="20"/>
        <v>0</v>
      </c>
      <c r="H134" s="87"/>
      <c r="I134" s="87"/>
      <c r="J134" s="87"/>
      <c r="K134" s="87"/>
      <c r="L134" s="87">
        <f t="shared" si="19"/>
        <v>0</v>
      </c>
      <c r="M134" s="89"/>
      <c r="N134" s="89"/>
      <c r="O134" s="89"/>
    </row>
    <row r="135" spans="2:16" s="91" customFormat="1" x14ac:dyDescent="0.3">
      <c r="B135" s="5">
        <f>MAX($B$5:B134)+1</f>
        <v>14</v>
      </c>
      <c r="C135" s="23" t="s">
        <v>149</v>
      </c>
      <c r="D135" s="6" t="s">
        <v>18</v>
      </c>
      <c r="E135" s="7">
        <v>12.8</v>
      </c>
      <c r="F135" s="23"/>
      <c r="G135" s="23"/>
      <c r="H135" s="23"/>
      <c r="I135" s="23"/>
      <c r="J135" s="23"/>
      <c r="K135" s="23"/>
      <c r="L135" s="23"/>
      <c r="M135" s="90"/>
      <c r="N135" s="90"/>
      <c r="O135" s="90"/>
    </row>
    <row r="136" spans="2:16" s="82" customFormat="1" x14ac:dyDescent="0.3">
      <c r="B136" s="83"/>
      <c r="C136" s="84" t="s">
        <v>24</v>
      </c>
      <c r="D136" s="85" t="s">
        <v>18</v>
      </c>
      <c r="E136" s="86">
        <f>E135</f>
        <v>12.8</v>
      </c>
      <c r="F136" s="87"/>
      <c r="G136" s="87"/>
      <c r="H136" s="87"/>
      <c r="I136" s="87">
        <f>E136*H136</f>
        <v>0</v>
      </c>
      <c r="J136" s="87"/>
      <c r="K136" s="87"/>
      <c r="L136" s="87">
        <f>G136+I136+K136</f>
        <v>0</v>
      </c>
      <c r="M136" s="89"/>
      <c r="N136" s="89"/>
      <c r="O136" s="89"/>
    </row>
    <row r="137" spans="2:16" s="82" customFormat="1" x14ac:dyDescent="0.3">
      <c r="B137" s="83"/>
      <c r="C137" s="84" t="s">
        <v>35</v>
      </c>
      <c r="D137" s="85" t="s">
        <v>18</v>
      </c>
      <c r="E137" s="86">
        <f>E135*1.015</f>
        <v>12.991999999999999</v>
      </c>
      <c r="F137" s="87"/>
      <c r="G137" s="87"/>
      <c r="H137" s="87"/>
      <c r="I137" s="87"/>
      <c r="J137" s="87"/>
      <c r="K137" s="87">
        <f>E137*J137</f>
        <v>0</v>
      </c>
      <c r="L137" s="87">
        <f t="shared" ref="L137:L145" si="21">G137+I137+K137</f>
        <v>0</v>
      </c>
      <c r="M137" s="89"/>
      <c r="N137" s="89"/>
      <c r="O137" s="89"/>
    </row>
    <row r="138" spans="2:16" s="88" customFormat="1" x14ac:dyDescent="0.3">
      <c r="B138" s="83"/>
      <c r="C138" s="84" t="s">
        <v>78</v>
      </c>
      <c r="D138" s="85" t="s">
        <v>43</v>
      </c>
      <c r="E138" s="86">
        <f>E135</f>
        <v>12.8</v>
      </c>
      <c r="F138" s="87"/>
      <c r="G138" s="87"/>
      <c r="H138" s="87"/>
      <c r="I138" s="87"/>
      <c r="J138" s="87"/>
      <c r="K138" s="87">
        <f>E138*J138</f>
        <v>0</v>
      </c>
      <c r="L138" s="87">
        <f t="shared" si="21"/>
        <v>0</v>
      </c>
      <c r="M138" s="89"/>
      <c r="N138" s="89"/>
      <c r="O138" s="89"/>
      <c r="P138" s="82"/>
    </row>
    <row r="139" spans="2:16" s="82" customFormat="1" x14ac:dyDescent="0.3">
      <c r="B139" s="83"/>
      <c r="C139" s="84" t="s">
        <v>134</v>
      </c>
      <c r="D139" s="85" t="s">
        <v>18</v>
      </c>
      <c r="E139" s="86">
        <f>E135*1.015</f>
        <v>12.991999999999999</v>
      </c>
      <c r="F139" s="95"/>
      <c r="G139" s="87">
        <f t="shared" ref="G139:G145" si="22">E139*F139</f>
        <v>0</v>
      </c>
      <c r="H139" s="87"/>
      <c r="I139" s="87"/>
      <c r="J139" s="87"/>
      <c r="K139" s="87"/>
      <c r="L139" s="87">
        <f t="shared" si="21"/>
        <v>0</v>
      </c>
      <c r="M139" s="89"/>
      <c r="N139" s="89"/>
      <c r="O139" s="89"/>
    </row>
    <row r="140" spans="2:16" s="82" customFormat="1" x14ac:dyDescent="0.3">
      <c r="B140" s="83"/>
      <c r="C140" s="84" t="s">
        <v>135</v>
      </c>
      <c r="D140" s="85" t="s">
        <v>18</v>
      </c>
      <c r="E140" s="86">
        <f>E135</f>
        <v>12.8</v>
      </c>
      <c r="F140" s="87"/>
      <c r="G140" s="87">
        <f t="shared" si="22"/>
        <v>0</v>
      </c>
      <c r="H140" s="87"/>
      <c r="I140" s="87"/>
      <c r="J140" s="87"/>
      <c r="K140" s="87"/>
      <c r="L140" s="87">
        <f t="shared" si="21"/>
        <v>0</v>
      </c>
      <c r="M140" s="89"/>
      <c r="N140" s="89"/>
      <c r="O140" s="89"/>
    </row>
    <row r="141" spans="2:16" s="82" customFormat="1" x14ac:dyDescent="0.3">
      <c r="B141" s="83"/>
      <c r="C141" s="84" t="s">
        <v>136</v>
      </c>
      <c r="D141" s="85" t="s">
        <v>89</v>
      </c>
      <c r="E141" s="86">
        <f>SUM(E142:E144)</f>
        <v>0.82450000000000001</v>
      </c>
      <c r="F141" s="87"/>
      <c r="G141" s="87">
        <f t="shared" si="22"/>
        <v>0</v>
      </c>
      <c r="H141" s="87"/>
      <c r="I141" s="87"/>
      <c r="J141" s="87"/>
      <c r="K141" s="87"/>
      <c r="L141" s="87">
        <f t="shared" si="21"/>
        <v>0</v>
      </c>
      <c r="M141" s="89"/>
      <c r="N141" s="89"/>
      <c r="O141" s="89"/>
    </row>
    <row r="142" spans="2:16" s="88" customFormat="1" x14ac:dyDescent="0.3">
      <c r="B142" s="83"/>
      <c r="C142" s="84" t="s">
        <v>137</v>
      </c>
      <c r="D142" s="85" t="s">
        <v>89</v>
      </c>
      <c r="E142" s="86">
        <f>11.2/1000+13.4/1000+14.2/1000</f>
        <v>3.8800000000000001E-2</v>
      </c>
      <c r="F142" s="95"/>
      <c r="G142" s="87">
        <f t="shared" si="22"/>
        <v>0</v>
      </c>
      <c r="H142" s="87"/>
      <c r="I142" s="87"/>
      <c r="J142" s="87"/>
      <c r="K142" s="87"/>
      <c r="L142" s="87">
        <f t="shared" si="21"/>
        <v>0</v>
      </c>
      <c r="M142" s="89"/>
      <c r="N142" s="89"/>
      <c r="O142" s="89"/>
      <c r="P142" s="82"/>
    </row>
    <row r="143" spans="2:16" s="82" customFormat="1" x14ac:dyDescent="0.3">
      <c r="B143" s="83"/>
      <c r="C143" s="84" t="s">
        <v>138</v>
      </c>
      <c r="D143" s="85" t="s">
        <v>89</v>
      </c>
      <c r="E143" s="86">
        <f>325.2/1000+110.8/1000+78/1000</f>
        <v>0.51400000000000001</v>
      </c>
      <c r="F143" s="95"/>
      <c r="G143" s="87">
        <f t="shared" si="22"/>
        <v>0</v>
      </c>
      <c r="H143" s="87"/>
      <c r="I143" s="87"/>
      <c r="J143" s="87"/>
      <c r="K143" s="87"/>
      <c r="L143" s="87">
        <f t="shared" si="21"/>
        <v>0</v>
      </c>
      <c r="M143" s="89"/>
      <c r="N143" s="89"/>
      <c r="O143" s="89"/>
    </row>
    <row r="144" spans="2:16" s="88" customFormat="1" x14ac:dyDescent="0.3">
      <c r="B144" s="83"/>
      <c r="C144" s="84" t="s">
        <v>139</v>
      </c>
      <c r="D144" s="85" t="s">
        <v>89</v>
      </c>
      <c r="E144" s="86">
        <f>159.9/1000+111.8/1000</f>
        <v>0.2717</v>
      </c>
      <c r="F144" s="95"/>
      <c r="G144" s="87">
        <f t="shared" si="22"/>
        <v>0</v>
      </c>
      <c r="H144" s="87"/>
      <c r="I144" s="87"/>
      <c r="J144" s="87"/>
      <c r="K144" s="87"/>
      <c r="L144" s="87">
        <f t="shared" si="21"/>
        <v>0</v>
      </c>
      <c r="M144" s="89"/>
      <c r="N144" s="89"/>
      <c r="O144" s="89"/>
      <c r="P144" s="82"/>
    </row>
    <row r="145" spans="1:15" s="82" customFormat="1" x14ac:dyDescent="0.3">
      <c r="B145" s="83"/>
      <c r="C145" s="84" t="s">
        <v>81</v>
      </c>
      <c r="D145" s="85" t="s">
        <v>43</v>
      </c>
      <c r="E145" s="86">
        <f>E135</f>
        <v>12.8</v>
      </c>
      <c r="F145" s="87"/>
      <c r="G145" s="87">
        <f t="shared" si="22"/>
        <v>0</v>
      </c>
      <c r="H145" s="87"/>
      <c r="I145" s="87"/>
      <c r="J145" s="87"/>
      <c r="K145" s="87"/>
      <c r="L145" s="87">
        <f t="shared" si="21"/>
        <v>0</v>
      </c>
      <c r="M145" s="89"/>
      <c r="N145" s="89"/>
      <c r="O145" s="89"/>
    </row>
    <row r="146" spans="1:15" s="92" customFormat="1" x14ac:dyDescent="0.3">
      <c r="B146" s="5"/>
      <c r="C146" s="93" t="s">
        <v>16</v>
      </c>
      <c r="D146" s="6"/>
      <c r="E146" s="7"/>
      <c r="F146" s="93"/>
      <c r="G146" s="94">
        <f>SUM(G5:G145)</f>
        <v>0</v>
      </c>
      <c r="H146" s="93"/>
      <c r="I146" s="94">
        <f>SUM(I5:I145)</f>
        <v>0</v>
      </c>
      <c r="J146" s="93"/>
      <c r="K146" s="94">
        <f>SUM(K5:K145)</f>
        <v>0</v>
      </c>
      <c r="L146" s="94">
        <f>SUM(L5:L145)</f>
        <v>0</v>
      </c>
      <c r="M146" s="90"/>
      <c r="N146" s="90"/>
      <c r="O146" s="90"/>
    </row>
    <row r="147" spans="1:15" s="46" customFormat="1" x14ac:dyDescent="0.3">
      <c r="A147" s="25"/>
      <c r="B147" s="12"/>
      <c r="C147" s="12" t="s">
        <v>99</v>
      </c>
      <c r="D147" s="18">
        <v>0</v>
      </c>
      <c r="E147" s="12"/>
      <c r="F147" s="12"/>
      <c r="G147" s="12"/>
      <c r="H147" s="12"/>
      <c r="I147" s="12"/>
      <c r="J147" s="12"/>
      <c r="K147" s="12"/>
      <c r="L147" s="21">
        <f>G146*D147</f>
        <v>0</v>
      </c>
      <c r="N147" s="25"/>
    </row>
    <row r="148" spans="1:15" s="46" customFormat="1" x14ac:dyDescent="0.3">
      <c r="A148" s="25"/>
      <c r="B148" s="12"/>
      <c r="C148" s="19" t="s">
        <v>16</v>
      </c>
      <c r="D148" s="20"/>
      <c r="E148" s="19"/>
      <c r="F148" s="19"/>
      <c r="G148" s="19"/>
      <c r="H148" s="19"/>
      <c r="I148" s="19"/>
      <c r="J148" s="19"/>
      <c r="K148" s="19"/>
      <c r="L148" s="22">
        <f>L147+L146</f>
        <v>0</v>
      </c>
      <c r="N148" s="25"/>
    </row>
    <row r="149" spans="1:15" s="46" customFormat="1" x14ac:dyDescent="0.3">
      <c r="A149" s="25"/>
      <c r="B149" s="12"/>
      <c r="C149" s="12" t="s">
        <v>100</v>
      </c>
      <c r="D149" s="18">
        <v>0</v>
      </c>
      <c r="E149" s="12"/>
      <c r="F149" s="12"/>
      <c r="G149" s="12"/>
      <c r="H149" s="12"/>
      <c r="I149" s="12"/>
      <c r="J149" s="12"/>
      <c r="K149" s="12"/>
      <c r="L149" s="21">
        <f>L148*D149</f>
        <v>0</v>
      </c>
      <c r="N149" s="25"/>
    </row>
    <row r="150" spans="1:15" s="46" customFormat="1" x14ac:dyDescent="0.3">
      <c r="A150" s="25"/>
      <c r="B150" s="12"/>
      <c r="C150" s="19" t="s">
        <v>16</v>
      </c>
      <c r="D150" s="20"/>
      <c r="E150" s="19"/>
      <c r="F150" s="19"/>
      <c r="G150" s="19"/>
      <c r="H150" s="19"/>
      <c r="I150" s="19"/>
      <c r="J150" s="19"/>
      <c r="K150" s="19"/>
      <c r="L150" s="22">
        <f>L148+L149</f>
        <v>0</v>
      </c>
      <c r="N150" s="25"/>
    </row>
    <row r="151" spans="1:15" s="46" customFormat="1" x14ac:dyDescent="0.3">
      <c r="A151" s="25"/>
      <c r="B151" s="12"/>
      <c r="C151" s="12" t="s">
        <v>101</v>
      </c>
      <c r="D151" s="18">
        <v>0</v>
      </c>
      <c r="E151" s="12"/>
      <c r="F151" s="12"/>
      <c r="G151" s="12"/>
      <c r="H151" s="12"/>
      <c r="I151" s="12"/>
      <c r="J151" s="12"/>
      <c r="K151" s="12"/>
      <c r="L151" s="21">
        <f>L150*D151</f>
        <v>0</v>
      </c>
      <c r="N151" s="25"/>
    </row>
    <row r="152" spans="1:15" s="46" customFormat="1" x14ac:dyDescent="0.3">
      <c r="A152" s="25"/>
      <c r="B152" s="12"/>
      <c r="C152" s="19" t="s">
        <v>16</v>
      </c>
      <c r="D152" s="20"/>
      <c r="E152" s="19"/>
      <c r="F152" s="19"/>
      <c r="G152" s="19"/>
      <c r="H152" s="19"/>
      <c r="I152" s="19"/>
      <c r="J152" s="19"/>
      <c r="K152" s="19"/>
      <c r="L152" s="22">
        <f>L150+L151</f>
        <v>0</v>
      </c>
      <c r="N152" s="25"/>
    </row>
    <row r="153" spans="1:15" s="46" customFormat="1" x14ac:dyDescent="0.3">
      <c r="A153" s="25"/>
      <c r="B153" s="12"/>
      <c r="C153" s="12" t="s">
        <v>102</v>
      </c>
      <c r="D153" s="18">
        <v>0</v>
      </c>
      <c r="E153" s="12"/>
      <c r="F153" s="12"/>
      <c r="G153" s="12"/>
      <c r="H153" s="12"/>
      <c r="I153" s="12"/>
      <c r="J153" s="12"/>
      <c r="K153" s="12"/>
      <c r="L153" s="21">
        <f>L152*D153</f>
        <v>0</v>
      </c>
      <c r="N153" s="25"/>
    </row>
    <row r="154" spans="1:15" s="46" customFormat="1" x14ac:dyDescent="0.3">
      <c r="A154" s="25"/>
      <c r="B154" s="12"/>
      <c r="C154" s="19" t="s">
        <v>16</v>
      </c>
      <c r="D154" s="20"/>
      <c r="E154" s="19"/>
      <c r="F154" s="19"/>
      <c r="G154" s="19"/>
      <c r="H154" s="19"/>
      <c r="I154" s="19"/>
      <c r="J154" s="19"/>
      <c r="K154" s="19"/>
      <c r="L154" s="22">
        <f>L152+L153</f>
        <v>0</v>
      </c>
      <c r="N154" s="25"/>
    </row>
    <row r="155" spans="1:15" s="46" customFormat="1" x14ac:dyDescent="0.3">
      <c r="A155" s="25"/>
      <c r="B155" s="12"/>
      <c r="C155" s="12" t="s">
        <v>103</v>
      </c>
      <c r="D155" s="18">
        <v>0</v>
      </c>
      <c r="E155" s="12"/>
      <c r="F155" s="12"/>
      <c r="G155" s="12"/>
      <c r="H155" s="12"/>
      <c r="I155" s="12"/>
      <c r="J155" s="12"/>
      <c r="K155" s="12"/>
      <c r="L155" s="21">
        <f>L154*D155</f>
        <v>0</v>
      </c>
      <c r="N155" s="25"/>
    </row>
    <row r="156" spans="1:15" s="46" customFormat="1" x14ac:dyDescent="0.3">
      <c r="A156" s="25"/>
      <c r="B156" s="35"/>
      <c r="C156" s="36" t="s">
        <v>16</v>
      </c>
      <c r="D156" s="35"/>
      <c r="E156" s="36"/>
      <c r="F156" s="35"/>
      <c r="G156" s="37"/>
      <c r="H156" s="38"/>
      <c r="I156" s="38"/>
      <c r="J156" s="38"/>
      <c r="K156" s="38"/>
      <c r="L156" s="39">
        <f>L155+L154</f>
        <v>0</v>
      </c>
      <c r="N156" s="25"/>
    </row>
  </sheetData>
  <autoFilter ref="B4:L156" xr:uid="{AF03FC27-BCD1-4DA9-BBA7-2CAE73D1A655}"/>
  <mergeCells count="4">
    <mergeCell ref="B2:B3"/>
    <mergeCell ref="C2:C3"/>
    <mergeCell ref="D2:D3"/>
    <mergeCell ref="L2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კრებსითი</vt:lpstr>
      <vt:lpstr>ვერტიკალური გეგმარება</vt:lpstr>
      <vt:lpstr>დენდროლოგია</vt:lpstr>
      <vt:lpstr>ტერიტორიის საყრდენი კედლები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Tazo Bakuradze</dc:creator>
  <cp:keywords/>
  <dc:description/>
  <cp:lastModifiedBy>Salome Qoqiashvili</cp:lastModifiedBy>
  <cp:revision/>
  <dcterms:created xsi:type="dcterms:W3CDTF">2026-01-08T13:19:29Z</dcterms:created>
  <dcterms:modified xsi:type="dcterms:W3CDTF">2026-10-30T14:16:29Z</dcterms:modified>
  <cp:category/>
  <cp:contentStatus/>
</cp:coreProperties>
</file>